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Н. Неделчев\Documents\Godishni planove\2025_GodishniPlanove\Начален\10_SCDP_Gabrovo\Сайт\"/>
    </mc:Choice>
  </mc:AlternateContent>
  <xr:revisionPtr revIDLastSave="0" documentId="13_ncr:1_{583A3ED8-94E2-4532-A07E-CCA8DF9B4606}" xr6:coauthVersionLast="47" xr6:coauthVersionMax="47" xr10:uidLastSave="{00000000-0000-0000-0000-000000000000}"/>
  <bookViews>
    <workbookView xWindow="-108" yWindow="-108" windowWidth="23256" windowHeight="12576" tabRatio="752" xr2:uid="{00000000-000D-0000-FFFF-FFFF00000000}"/>
  </bookViews>
  <sheets>
    <sheet name="SCDP" sheetId="25" r:id="rId1"/>
    <sheet name="Bolqrka" sheetId="3" r:id="rId2"/>
    <sheet name="Bujnovci" sheetId="7" r:id="rId3"/>
    <sheet name="Gabrovo" sheetId="19" r:id="rId4"/>
    <sheet name="Gorna" sheetId="10" r:id="rId5"/>
    <sheet name="Elena" sheetId="9" r:id="rId6"/>
    <sheet name="Plachkovci" sheetId="27" r:id="rId7"/>
    <sheet name="Rosica" sheetId="12" r:id="rId8"/>
    <sheet name="Svishtov" sheetId="21" r:id="rId9"/>
    <sheet name="Sevlievo" sheetId="2" r:id="rId10"/>
    <sheet name="Bqla" sheetId="6" r:id="rId11"/>
    <sheet name="Dunav_Ruse" sheetId="20" r:id="rId12"/>
    <sheet name="Karakuz" sheetId="8" r:id="rId13"/>
    <sheet name="Razgrad" sheetId="11" r:id="rId14"/>
    <sheet name="Seslav" sheetId="13" r:id="rId15"/>
    <sheet name="Silistra" sheetId="14" r:id="rId16"/>
    <sheet name="Tutrakan" sheetId="28" r:id="rId17"/>
    <sheet name="Voden" sheetId="5" r:id="rId18"/>
    <sheet name="Лист1" sheetId="29" r:id="rId19"/>
  </sheets>
  <externalReferences>
    <externalReference r:id="rId20"/>
    <externalReference r:id="rId21"/>
  </externalReferences>
  <definedNames>
    <definedName name="aw" localSheetId="0">SCDP!$A$1:$AW$40</definedName>
    <definedName name="_xlnm.Print_Area" localSheetId="0">SCDP!$A$1:$AW$40</definedName>
    <definedName name="_xlnm.Print_Area" localSheetId="17">Voden!$A$1:$AQ$41</definedName>
    <definedName name="_xlnm.Print_Area" localSheetId="18">Лист1!$A$1:$H$21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40" i="27" l="1"/>
  <c r="AP40" i="27"/>
  <c r="AO40" i="27"/>
  <c r="AN40" i="27"/>
  <c r="AM40" i="27"/>
  <c r="AL40" i="27"/>
  <c r="AK40" i="27"/>
  <c r="AH40" i="27"/>
  <c r="AG40" i="27"/>
  <c r="AF40" i="27"/>
  <c r="AE40" i="27"/>
  <c r="AD40" i="27"/>
  <c r="AC40" i="27"/>
  <c r="AB40" i="27"/>
  <c r="Y40" i="27"/>
  <c r="X40" i="27"/>
  <c r="W40" i="27"/>
  <c r="V40" i="27"/>
  <c r="U40" i="27"/>
  <c r="T40" i="27"/>
  <c r="S40" i="27"/>
  <c r="Q40" i="27"/>
  <c r="P40" i="27"/>
  <c r="O40" i="27"/>
  <c r="N40" i="27"/>
  <c r="M40" i="27"/>
  <c r="L40" i="27"/>
  <c r="K40" i="27"/>
  <c r="H40" i="27"/>
  <c r="F40" i="27"/>
  <c r="E40" i="27"/>
  <c r="H39" i="27"/>
  <c r="G39" i="27"/>
  <c r="G40" i="27" s="1"/>
  <c r="F39" i="27"/>
  <c r="E39" i="27"/>
  <c r="D39" i="27"/>
  <c r="D40" i="27" s="1"/>
  <c r="C39" i="27"/>
  <c r="C40" i="27" s="1"/>
  <c r="B39" i="27"/>
  <c r="B40" i="27" s="1"/>
  <c r="AM38" i="27"/>
  <c r="H38" i="27"/>
  <c r="G38" i="27"/>
  <c r="F38" i="27"/>
  <c r="E38" i="27"/>
  <c r="D38" i="27"/>
  <c r="C38" i="27"/>
  <c r="B38" i="27"/>
  <c r="AQ37" i="27"/>
  <c r="AP37" i="27"/>
  <c r="AO37" i="27"/>
  <c r="AN37" i="27"/>
  <c r="AM37" i="27"/>
  <c r="AL37" i="27"/>
  <c r="AK37" i="27"/>
  <c r="AH37" i="27"/>
  <c r="AG37" i="27"/>
  <c r="AF37" i="27"/>
  <c r="AE37" i="27"/>
  <c r="AD37" i="27"/>
  <c r="AC37" i="27"/>
  <c r="AB37" i="27"/>
  <c r="Y37" i="27"/>
  <c r="X37" i="27"/>
  <c r="W37" i="27"/>
  <c r="V37" i="27"/>
  <c r="U37" i="27"/>
  <c r="T37" i="27"/>
  <c r="S37" i="27"/>
  <c r="Q37" i="27"/>
  <c r="P37" i="27"/>
  <c r="O37" i="27"/>
  <c r="N37" i="27"/>
  <c r="M37" i="27"/>
  <c r="L37" i="27"/>
  <c r="K37" i="27"/>
  <c r="H37" i="27"/>
  <c r="G37" i="27"/>
  <c r="B37" i="27"/>
  <c r="H36" i="27"/>
  <c r="G36" i="27"/>
  <c r="F36" i="27"/>
  <c r="F37" i="27" s="1"/>
  <c r="E36" i="27"/>
  <c r="E37" i="27" s="1"/>
  <c r="D36" i="27"/>
  <c r="C36" i="27"/>
  <c r="C37" i="27" s="1"/>
  <c r="B36" i="27"/>
  <c r="AM35" i="27"/>
  <c r="D35" i="27" s="1"/>
  <c r="H35" i="27"/>
  <c r="G35" i="27"/>
  <c r="F35" i="27"/>
  <c r="E35" i="27"/>
  <c r="C35" i="27"/>
  <c r="B35" i="27"/>
  <c r="AQ34" i="27"/>
  <c r="AP34" i="27"/>
  <c r="AO34" i="27"/>
  <c r="AN34" i="27"/>
  <c r="AL34" i="27"/>
  <c r="AK34" i="27"/>
  <c r="AH34" i="27"/>
  <c r="AG34" i="27"/>
  <c r="AF34" i="27"/>
  <c r="AE34" i="27"/>
  <c r="AD34" i="27"/>
  <c r="AC34" i="27"/>
  <c r="AB34" i="27"/>
  <c r="Y34" i="27"/>
  <c r="X34" i="27"/>
  <c r="W34" i="27"/>
  <c r="V34" i="27"/>
  <c r="U34" i="27"/>
  <c r="T34" i="27"/>
  <c r="S34" i="27"/>
  <c r="Q34" i="27"/>
  <c r="P34" i="27"/>
  <c r="O34" i="27"/>
  <c r="N34" i="27"/>
  <c r="M34" i="27"/>
  <c r="L34" i="27"/>
  <c r="K34" i="27"/>
  <c r="B34" i="27"/>
  <c r="H33" i="27"/>
  <c r="H34" i="27" s="1"/>
  <c r="G33" i="27"/>
  <c r="G34" i="27" s="1"/>
  <c r="F33" i="27"/>
  <c r="F34" i="27" s="1"/>
  <c r="E33" i="27"/>
  <c r="E34" i="27" s="1"/>
  <c r="D33" i="27"/>
  <c r="C33" i="27"/>
  <c r="C34" i="27" s="1"/>
  <c r="B33" i="27"/>
  <c r="AM32" i="27"/>
  <c r="AM34" i="27" s="1"/>
  <c r="H32" i="27"/>
  <c r="G32" i="27"/>
  <c r="F32" i="27"/>
  <c r="E32" i="27"/>
  <c r="C32" i="27"/>
  <c r="B32" i="27"/>
  <c r="AQ31" i="27"/>
  <c r="AP31" i="27"/>
  <c r="AO31" i="27"/>
  <c r="AN31" i="27"/>
  <c r="AL31" i="27"/>
  <c r="AK31" i="27"/>
  <c r="AH31" i="27"/>
  <c r="AG31" i="27"/>
  <c r="AF31" i="27"/>
  <c r="AE31" i="27"/>
  <c r="AD31" i="27"/>
  <c r="AC31" i="27"/>
  <c r="AB31" i="27"/>
  <c r="Y31" i="27"/>
  <c r="X31" i="27"/>
  <c r="W31" i="27"/>
  <c r="V31" i="27"/>
  <c r="U31" i="27"/>
  <c r="T31" i="27"/>
  <c r="S31" i="27"/>
  <c r="Q31" i="27"/>
  <c r="P31" i="27"/>
  <c r="O31" i="27"/>
  <c r="N31" i="27"/>
  <c r="M31" i="27"/>
  <c r="L31" i="27"/>
  <c r="K31" i="27"/>
  <c r="F31" i="27"/>
  <c r="C31" i="27"/>
  <c r="H30" i="27"/>
  <c r="H31" i="27" s="1"/>
  <c r="G30" i="27"/>
  <c r="G31" i="27" s="1"/>
  <c r="F30" i="27"/>
  <c r="E30" i="27"/>
  <c r="E31" i="27" s="1"/>
  <c r="D30" i="27"/>
  <c r="C30" i="27"/>
  <c r="B30" i="27"/>
  <c r="B31" i="27" s="1"/>
  <c r="AM29" i="27"/>
  <c r="AM31" i="27" s="1"/>
  <c r="H29" i="27"/>
  <c r="G29" i="27"/>
  <c r="F29" i="27"/>
  <c r="E29" i="27"/>
  <c r="C29" i="27"/>
  <c r="B29" i="27"/>
  <c r="AQ28" i="27"/>
  <c r="AP28" i="27"/>
  <c r="AO28" i="27"/>
  <c r="AN28" i="27"/>
  <c r="AM28" i="27"/>
  <c r="AL28" i="27"/>
  <c r="AK28" i="27"/>
  <c r="AH28" i="27"/>
  <c r="AG28" i="27"/>
  <c r="AF28" i="27"/>
  <c r="AE28" i="27"/>
  <c r="AD28" i="27"/>
  <c r="AC28" i="27"/>
  <c r="AB28" i="27"/>
  <c r="Y28" i="27"/>
  <c r="X28" i="27"/>
  <c r="W28" i="27"/>
  <c r="V28" i="27"/>
  <c r="U28" i="27"/>
  <c r="T28" i="27"/>
  <c r="S28" i="27"/>
  <c r="Q28" i="27"/>
  <c r="P28" i="27"/>
  <c r="O28" i="27"/>
  <c r="N28" i="27"/>
  <c r="M28" i="27"/>
  <c r="L28" i="27"/>
  <c r="K28" i="27"/>
  <c r="H28" i="27"/>
  <c r="F28" i="27"/>
  <c r="E28" i="27"/>
  <c r="H27" i="27"/>
  <c r="G27" i="27"/>
  <c r="G28" i="27" s="1"/>
  <c r="F27" i="27"/>
  <c r="E27" i="27"/>
  <c r="D27" i="27"/>
  <c r="D28" i="27" s="1"/>
  <c r="C27" i="27"/>
  <c r="C28" i="27" s="1"/>
  <c r="B27" i="27"/>
  <c r="B28" i="27" s="1"/>
  <c r="AM26" i="27"/>
  <c r="H26" i="27"/>
  <c r="G26" i="27"/>
  <c r="F26" i="27"/>
  <c r="E26" i="27"/>
  <c r="D26" i="27"/>
  <c r="C26" i="27"/>
  <c r="B26" i="27"/>
  <c r="AQ25" i="27"/>
  <c r="AP25" i="27"/>
  <c r="AO25" i="27"/>
  <c r="AN25" i="27"/>
  <c r="AM25" i="27"/>
  <c r="AL25" i="27"/>
  <c r="AK25" i="27"/>
  <c r="AH25" i="27"/>
  <c r="AG25" i="27"/>
  <c r="AF25" i="27"/>
  <c r="AE25" i="27"/>
  <c r="AD25" i="27"/>
  <c r="AC25" i="27"/>
  <c r="AB25" i="27"/>
  <c r="Y25" i="27"/>
  <c r="X25" i="27"/>
  <c r="W25" i="27"/>
  <c r="V25" i="27"/>
  <c r="U25" i="27"/>
  <c r="T25" i="27"/>
  <c r="S25" i="27"/>
  <c r="Q25" i="27"/>
  <c r="P25" i="27"/>
  <c r="O25" i="27"/>
  <c r="N25" i="27"/>
  <c r="M25" i="27"/>
  <c r="L25" i="27"/>
  <c r="K25" i="27"/>
  <c r="H25" i="27"/>
  <c r="G25" i="27"/>
  <c r="B25" i="27"/>
  <c r="H24" i="27"/>
  <c r="G24" i="27"/>
  <c r="F24" i="27"/>
  <c r="F25" i="27" s="1"/>
  <c r="E24" i="27"/>
  <c r="E25" i="27" s="1"/>
  <c r="D24" i="27"/>
  <c r="D25" i="27" s="1"/>
  <c r="C24" i="27"/>
  <c r="C25" i="27" s="1"/>
  <c r="B24" i="27"/>
  <c r="H23" i="27"/>
  <c r="G23" i="27"/>
  <c r="F23" i="27"/>
  <c r="E23" i="27"/>
  <c r="D23" i="27"/>
  <c r="C23" i="27"/>
  <c r="B23" i="27"/>
  <c r="AN22" i="27"/>
  <c r="AD22" i="27"/>
  <c r="AC22" i="27"/>
  <c r="T22" i="27"/>
  <c r="S22" i="27"/>
  <c r="K22" i="27"/>
  <c r="AQ21" i="27"/>
  <c r="AQ10" i="27" s="1"/>
  <c r="AQ11" i="27" s="1"/>
  <c r="AP21" i="27"/>
  <c r="AP22" i="27" s="1"/>
  <c r="AO21" i="27"/>
  <c r="AO22" i="27" s="1"/>
  <c r="AN21" i="27"/>
  <c r="AM21" i="27"/>
  <c r="AL21" i="27"/>
  <c r="AL22" i="27" s="1"/>
  <c r="AK21" i="27"/>
  <c r="AK22" i="27" s="1"/>
  <c r="AH21" i="27"/>
  <c r="AH22" i="27" s="1"/>
  <c r="AG21" i="27"/>
  <c r="AG10" i="27" s="1"/>
  <c r="AG11" i="27" s="1"/>
  <c r="AF21" i="27"/>
  <c r="AF10" i="27" s="1"/>
  <c r="AF11" i="27" s="1"/>
  <c r="AE21" i="27"/>
  <c r="AE22" i="27" s="1"/>
  <c r="AD21" i="27"/>
  <c r="AC21" i="27"/>
  <c r="AB21" i="27"/>
  <c r="AB22" i="27" s="1"/>
  <c r="Y21" i="27"/>
  <c r="Y22" i="27" s="1"/>
  <c r="X21" i="27"/>
  <c r="X22" i="27" s="1"/>
  <c r="W21" i="27"/>
  <c r="W10" i="27" s="1"/>
  <c r="W11" i="27" s="1"/>
  <c r="V21" i="27"/>
  <c r="V10" i="27" s="1"/>
  <c r="V11" i="27" s="1"/>
  <c r="U21" i="27"/>
  <c r="U22" i="27" s="1"/>
  <c r="T21" i="27"/>
  <c r="S21" i="27"/>
  <c r="Q21" i="27"/>
  <c r="Q22" i="27" s="1"/>
  <c r="P21" i="27"/>
  <c r="P22" i="27" s="1"/>
  <c r="O21" i="27"/>
  <c r="O22" i="27" s="1"/>
  <c r="N21" i="27"/>
  <c r="N10" i="27" s="1"/>
  <c r="M21" i="27"/>
  <c r="M10" i="27" s="1"/>
  <c r="L21" i="27"/>
  <c r="L22" i="27" s="1"/>
  <c r="K21" i="27"/>
  <c r="B21" i="27" s="1"/>
  <c r="B22" i="27" s="1"/>
  <c r="C21" i="27"/>
  <c r="C22" i="27" s="1"/>
  <c r="AQ20" i="27"/>
  <c r="AP20" i="27"/>
  <c r="AO20" i="27"/>
  <c r="AN20" i="27"/>
  <c r="AL20" i="27"/>
  <c r="AL9" i="27" s="1"/>
  <c r="AK20" i="27"/>
  <c r="AK9" i="27" s="1"/>
  <c r="AH20" i="27"/>
  <c r="AG20" i="27"/>
  <c r="AF20" i="27"/>
  <c r="AE20" i="27"/>
  <c r="AD20" i="27"/>
  <c r="AC20" i="27"/>
  <c r="AB20" i="27"/>
  <c r="AB9" i="27" s="1"/>
  <c r="Y20" i="27"/>
  <c r="Y9" i="27" s="1"/>
  <c r="X20" i="27"/>
  <c r="W20" i="27"/>
  <c r="V20" i="27"/>
  <c r="U20" i="27"/>
  <c r="T20" i="27"/>
  <c r="C20" i="27" s="1"/>
  <c r="S20" i="27"/>
  <c r="Q20" i="27"/>
  <c r="Q9" i="27" s="1"/>
  <c r="P20" i="27"/>
  <c r="P9" i="27" s="1"/>
  <c r="G9" i="27" s="1"/>
  <c r="O20" i="27"/>
  <c r="N20" i="27"/>
  <c r="E20" i="27" s="1"/>
  <c r="M20" i="27"/>
  <c r="L20" i="27"/>
  <c r="K20" i="27"/>
  <c r="B20" i="27" s="1"/>
  <c r="F20" i="27"/>
  <c r="U18" i="27"/>
  <c r="D18" i="27" s="1"/>
  <c r="H18" i="27"/>
  <c r="G18" i="27"/>
  <c r="F18" i="27"/>
  <c r="E18" i="27"/>
  <c r="C18" i="27"/>
  <c r="B18" i="27"/>
  <c r="U17" i="27"/>
  <c r="D17" i="27" s="1"/>
  <c r="H17" i="27"/>
  <c r="G17" i="27"/>
  <c r="F17" i="27"/>
  <c r="E17" i="27"/>
  <c r="C17" i="27"/>
  <c r="B17" i="27"/>
  <c r="H16" i="27"/>
  <c r="G16" i="27"/>
  <c r="F16" i="27"/>
  <c r="E16" i="27"/>
  <c r="D16" i="27"/>
  <c r="C16" i="27"/>
  <c r="B16" i="27"/>
  <c r="AQ15" i="27"/>
  <c r="AP15" i="27"/>
  <c r="AO15" i="27"/>
  <c r="AN15" i="27"/>
  <c r="AM15" i="27"/>
  <c r="AL15" i="27"/>
  <c r="AK15" i="27"/>
  <c r="AH15" i="27"/>
  <c r="AG15" i="27"/>
  <c r="AF15" i="27"/>
  <c r="AE15" i="27"/>
  <c r="AD15" i="27"/>
  <c r="AC15" i="27"/>
  <c r="AB15" i="27"/>
  <c r="Y15" i="27"/>
  <c r="X15" i="27"/>
  <c r="W15" i="27"/>
  <c r="V15" i="27"/>
  <c r="U15" i="27"/>
  <c r="T15" i="27"/>
  <c r="S15" i="27"/>
  <c r="Q15" i="27"/>
  <c r="P15" i="27"/>
  <c r="O15" i="27"/>
  <c r="N15" i="27"/>
  <c r="M15" i="27"/>
  <c r="L15" i="27"/>
  <c r="K15" i="27"/>
  <c r="H15" i="27"/>
  <c r="C15" i="27"/>
  <c r="H14" i="27"/>
  <c r="G14" i="27"/>
  <c r="G15" i="27" s="1"/>
  <c r="F14" i="27"/>
  <c r="F15" i="27" s="1"/>
  <c r="E14" i="27"/>
  <c r="E15" i="27" s="1"/>
  <c r="D14" i="27"/>
  <c r="C14" i="27"/>
  <c r="B14" i="27"/>
  <c r="B15" i="27" s="1"/>
  <c r="AM13" i="27"/>
  <c r="D13" i="27" s="1"/>
  <c r="H13" i="27"/>
  <c r="G13" i="27"/>
  <c r="F13" i="27"/>
  <c r="E13" i="27"/>
  <c r="C13" i="27"/>
  <c r="B13" i="27"/>
  <c r="AO11" i="27"/>
  <c r="AE11" i="27"/>
  <c r="U11" i="27"/>
  <c r="L11" i="27"/>
  <c r="AO10" i="27"/>
  <c r="AN10" i="27"/>
  <c r="AN11" i="27" s="1"/>
  <c r="AM10" i="27"/>
  <c r="AL10" i="27"/>
  <c r="AL11" i="27" s="1"/>
  <c r="AK10" i="27"/>
  <c r="AK11" i="27" s="1"/>
  <c r="AH10" i="27"/>
  <c r="AH11" i="27" s="1"/>
  <c r="AE10" i="27"/>
  <c r="AD10" i="27"/>
  <c r="AD11" i="27" s="1"/>
  <c r="AC10" i="27"/>
  <c r="AC11" i="27" s="1"/>
  <c r="AB10" i="27"/>
  <c r="AB11" i="27" s="1"/>
  <c r="Y10" i="27"/>
  <c r="H10" i="27" s="1"/>
  <c r="X10" i="27"/>
  <c r="X11" i="27" s="1"/>
  <c r="U10" i="27"/>
  <c r="T10" i="27"/>
  <c r="T11" i="27" s="1"/>
  <c r="S10" i="27"/>
  <c r="S11" i="27" s="1"/>
  <c r="Q10" i="27"/>
  <c r="Q11" i="27" s="1"/>
  <c r="P10" i="27"/>
  <c r="P11" i="27" s="1"/>
  <c r="O10" i="27"/>
  <c r="O11" i="27" s="1"/>
  <c r="L10" i="27"/>
  <c r="C10" i="27" s="1"/>
  <c r="K10" i="27"/>
  <c r="K11" i="27" s="1"/>
  <c r="AQ9" i="27"/>
  <c r="AP9" i="27"/>
  <c r="AO9" i="27"/>
  <c r="AN9" i="27"/>
  <c r="AH9" i="27"/>
  <c r="AG9" i="27"/>
  <c r="AF9" i="27"/>
  <c r="AE9" i="27"/>
  <c r="AD9" i="27"/>
  <c r="AC9" i="27"/>
  <c r="X9" i="27"/>
  <c r="W9" i="27"/>
  <c r="V9" i="27"/>
  <c r="E9" i="27" s="1"/>
  <c r="U9" i="27"/>
  <c r="T9" i="27"/>
  <c r="C9" i="27" s="1"/>
  <c r="S9" i="27"/>
  <c r="O9" i="27"/>
  <c r="F9" i="27" s="1"/>
  <c r="N9" i="27"/>
  <c r="M9" i="27"/>
  <c r="L9" i="27"/>
  <c r="K9" i="27"/>
  <c r="B9" i="27" s="1"/>
  <c r="H9" i="27" l="1"/>
  <c r="D10" i="27"/>
  <c r="M11" i="27"/>
  <c r="C11" i="27"/>
  <c r="D15" i="27"/>
  <c r="E10" i="27"/>
  <c r="E11" i="27" s="1"/>
  <c r="N11" i="27"/>
  <c r="D37" i="27"/>
  <c r="H11" i="27"/>
  <c r="F10" i="27"/>
  <c r="F11" i="27" s="1"/>
  <c r="G10" i="27"/>
  <c r="G11" i="27" s="1"/>
  <c r="H20" i="27"/>
  <c r="AM20" i="27"/>
  <c r="E21" i="27"/>
  <c r="E22" i="27" s="1"/>
  <c r="D29" i="27"/>
  <c r="D31" i="27" s="1"/>
  <c r="D21" i="27"/>
  <c r="F21" i="27"/>
  <c r="F22" i="27" s="1"/>
  <c r="V22" i="27"/>
  <c r="Y11" i="27"/>
  <c r="G21" i="27"/>
  <c r="N22" i="27"/>
  <c r="W22" i="27"/>
  <c r="AG22" i="27"/>
  <c r="AQ22" i="27"/>
  <c r="D32" i="27"/>
  <c r="D34" i="27" s="1"/>
  <c r="M22" i="27"/>
  <c r="B10" i="27"/>
  <c r="B11" i="27" s="1"/>
  <c r="H21" i="27"/>
  <c r="H22" i="27" s="1"/>
  <c r="G20" i="27"/>
  <c r="AF22" i="27"/>
  <c r="AP10" i="27"/>
  <c r="AP11" i="27" s="1"/>
  <c r="AM22" i="27" l="1"/>
  <c r="D20" i="27"/>
  <c r="AM9" i="27"/>
  <c r="D22" i="27"/>
  <c r="G22" i="27"/>
  <c r="D9" i="27" l="1"/>
  <c r="D11" i="27" s="1"/>
  <c r="AM11" i="27"/>
  <c r="AQ40" i="20" l="1"/>
  <c r="AP40" i="20"/>
  <c r="AO40" i="20"/>
  <c r="AN40" i="20"/>
  <c r="AM40" i="20"/>
  <c r="AL40" i="20"/>
  <c r="AK40" i="20"/>
  <c r="AH40" i="20"/>
  <c r="AG40" i="20"/>
  <c r="AF40" i="20"/>
  <c r="AE40" i="20"/>
  <c r="AC40" i="20"/>
  <c r="AB40" i="20"/>
  <c r="Y40" i="20"/>
  <c r="X40" i="20"/>
  <c r="W40" i="20"/>
  <c r="V40" i="20"/>
  <c r="U40" i="20"/>
  <c r="T40" i="20"/>
  <c r="S40" i="20"/>
  <c r="Q40" i="20"/>
  <c r="P40" i="20"/>
  <c r="O40" i="20"/>
  <c r="N40" i="20"/>
  <c r="L40" i="20"/>
  <c r="K40" i="20"/>
  <c r="E40" i="20"/>
  <c r="B40" i="20"/>
  <c r="AM39" i="20"/>
  <c r="AD39" i="20"/>
  <c r="AD40" i="20" s="1"/>
  <c r="U39" i="20"/>
  <c r="M39" i="20"/>
  <c r="M40" i="20" s="1"/>
  <c r="H39" i="20"/>
  <c r="H40" i="20" s="1"/>
  <c r="G39" i="20"/>
  <c r="G40" i="20" s="1"/>
  <c r="F39" i="20"/>
  <c r="E39" i="20"/>
  <c r="C39" i="20"/>
  <c r="C40" i="20" s="1"/>
  <c r="B39" i="20"/>
  <c r="AM38" i="20"/>
  <c r="AD38" i="20"/>
  <c r="U38" i="20"/>
  <c r="M38" i="20"/>
  <c r="H38" i="20"/>
  <c r="G38" i="20"/>
  <c r="F38" i="20"/>
  <c r="F40" i="20" s="1"/>
  <c r="E38" i="20"/>
  <c r="C38" i="20"/>
  <c r="B38" i="20"/>
  <c r="AQ37" i="20"/>
  <c r="AP37" i="20"/>
  <c r="AO37" i="20"/>
  <c r="AN37" i="20"/>
  <c r="AL37" i="20"/>
  <c r="AK37" i="20"/>
  <c r="AH37" i="20"/>
  <c r="AG37" i="20"/>
  <c r="AF37" i="20"/>
  <c r="AE37" i="20"/>
  <c r="AD37" i="20"/>
  <c r="AC37" i="20"/>
  <c r="AB37" i="20"/>
  <c r="Y37" i="20"/>
  <c r="X37" i="20"/>
  <c r="W37" i="20"/>
  <c r="V37" i="20"/>
  <c r="U37" i="20"/>
  <c r="T37" i="20"/>
  <c r="S37" i="20"/>
  <c r="Q37" i="20"/>
  <c r="P37" i="20"/>
  <c r="O37" i="20"/>
  <c r="N37" i="20"/>
  <c r="L37" i="20"/>
  <c r="K37" i="20"/>
  <c r="F37" i="20"/>
  <c r="C37" i="20"/>
  <c r="B37" i="20"/>
  <c r="AM36" i="20"/>
  <c r="AM37" i="20" s="1"/>
  <c r="AD36" i="20"/>
  <c r="U36" i="20"/>
  <c r="M36" i="20"/>
  <c r="M37" i="20" s="1"/>
  <c r="H36" i="20"/>
  <c r="H37" i="20" s="1"/>
  <c r="G36" i="20"/>
  <c r="F36" i="20"/>
  <c r="E36" i="20"/>
  <c r="E37" i="20" s="1"/>
  <c r="D36" i="20"/>
  <c r="D37" i="20" s="1"/>
  <c r="C36" i="20"/>
  <c r="B36" i="20"/>
  <c r="AM35" i="20"/>
  <c r="AD35" i="20"/>
  <c r="U35" i="20"/>
  <c r="M35" i="20"/>
  <c r="H35" i="20"/>
  <c r="G35" i="20"/>
  <c r="G37" i="20" s="1"/>
  <c r="F35" i="20"/>
  <c r="E35" i="20"/>
  <c r="D35" i="20"/>
  <c r="C35" i="20"/>
  <c r="B35" i="20"/>
  <c r="AQ34" i="20"/>
  <c r="AP34" i="20"/>
  <c r="AO34" i="20"/>
  <c r="AN34" i="20"/>
  <c r="AM34" i="20"/>
  <c r="AL34" i="20"/>
  <c r="AK34" i="20"/>
  <c r="AH34" i="20"/>
  <c r="AG34" i="20"/>
  <c r="AF34" i="20"/>
  <c r="AE34" i="20"/>
  <c r="AC34" i="20"/>
  <c r="AB34" i="20"/>
  <c r="Y34" i="20"/>
  <c r="X34" i="20"/>
  <c r="W34" i="20"/>
  <c r="V34" i="20"/>
  <c r="T34" i="20"/>
  <c r="S34" i="20"/>
  <c r="Q34" i="20"/>
  <c r="P34" i="20"/>
  <c r="O34" i="20"/>
  <c r="N34" i="20"/>
  <c r="L34" i="20"/>
  <c r="K34" i="20"/>
  <c r="G34" i="20"/>
  <c r="C34" i="20"/>
  <c r="AM33" i="20"/>
  <c r="AD33" i="20"/>
  <c r="AD34" i="20" s="1"/>
  <c r="U33" i="20"/>
  <c r="U34" i="20" s="1"/>
  <c r="M33" i="20"/>
  <c r="H33" i="20"/>
  <c r="G33" i="20"/>
  <c r="F33" i="20"/>
  <c r="F34" i="20" s="1"/>
  <c r="E33" i="20"/>
  <c r="E34" i="20" s="1"/>
  <c r="C33" i="20"/>
  <c r="B33" i="20"/>
  <c r="B34" i="20" s="1"/>
  <c r="AM32" i="20"/>
  <c r="AD32" i="20"/>
  <c r="U32" i="20"/>
  <c r="M32" i="20"/>
  <c r="M34" i="20" s="1"/>
  <c r="H32" i="20"/>
  <c r="H34" i="20" s="1"/>
  <c r="G32" i="20"/>
  <c r="F32" i="20"/>
  <c r="E32" i="20"/>
  <c r="D32" i="20" s="1"/>
  <c r="C32" i="20"/>
  <c r="B32" i="20"/>
  <c r="AQ31" i="20"/>
  <c r="AP31" i="20"/>
  <c r="AO31" i="20"/>
  <c r="AN31" i="20"/>
  <c r="AM31" i="20"/>
  <c r="AL31" i="20"/>
  <c r="AK31" i="20"/>
  <c r="AH31" i="20"/>
  <c r="AG31" i="20"/>
  <c r="AF31" i="20"/>
  <c r="AE31" i="20"/>
  <c r="AC31" i="20"/>
  <c r="AB31" i="20"/>
  <c r="Y31" i="20"/>
  <c r="X31" i="20"/>
  <c r="W31" i="20"/>
  <c r="V31" i="20"/>
  <c r="T31" i="20"/>
  <c r="S31" i="20"/>
  <c r="Q31" i="20"/>
  <c r="P31" i="20"/>
  <c r="O31" i="20"/>
  <c r="N31" i="20"/>
  <c r="L31" i="20"/>
  <c r="K31" i="20"/>
  <c r="H31" i="20"/>
  <c r="E31" i="20"/>
  <c r="AM30" i="20"/>
  <c r="AD30" i="20"/>
  <c r="AD31" i="20" s="1"/>
  <c r="U30" i="20"/>
  <c r="M30" i="20"/>
  <c r="H30" i="20"/>
  <c r="G30" i="20"/>
  <c r="G31" i="20" s="1"/>
  <c r="F30" i="20"/>
  <c r="F31" i="20" s="1"/>
  <c r="E30" i="20"/>
  <c r="C30" i="20"/>
  <c r="C21" i="20" s="1"/>
  <c r="B30" i="20"/>
  <c r="AM29" i="20"/>
  <c r="AD29" i="20"/>
  <c r="U29" i="20"/>
  <c r="U31" i="20" s="1"/>
  <c r="M29" i="20"/>
  <c r="M31" i="20" s="1"/>
  <c r="H29" i="20"/>
  <c r="G29" i="20"/>
  <c r="F29" i="20"/>
  <c r="F20" i="20" s="1"/>
  <c r="E29" i="20"/>
  <c r="D29" i="20" s="1"/>
  <c r="C29" i="20"/>
  <c r="B29" i="20"/>
  <c r="B31" i="20" s="1"/>
  <c r="AQ28" i="20"/>
  <c r="AP28" i="20"/>
  <c r="AO28" i="20"/>
  <c r="AN28" i="20"/>
  <c r="AL28" i="20"/>
  <c r="AK28" i="20"/>
  <c r="AH28" i="20"/>
  <c r="AG28" i="20"/>
  <c r="AF28" i="20"/>
  <c r="AE28" i="20"/>
  <c r="AD28" i="20"/>
  <c r="AC28" i="20"/>
  <c r="AB28" i="20"/>
  <c r="Y28" i="20"/>
  <c r="X28" i="20"/>
  <c r="W28" i="20"/>
  <c r="V28" i="20"/>
  <c r="T28" i="20"/>
  <c r="S28" i="20"/>
  <c r="Q28" i="20"/>
  <c r="P28" i="20"/>
  <c r="O28" i="20"/>
  <c r="N28" i="20"/>
  <c r="L28" i="20"/>
  <c r="K28" i="20"/>
  <c r="F28" i="20"/>
  <c r="E28" i="20"/>
  <c r="AM27" i="20"/>
  <c r="AM28" i="20" s="1"/>
  <c r="AD27" i="20"/>
  <c r="U27" i="20"/>
  <c r="M27" i="20"/>
  <c r="M28" i="20" s="1"/>
  <c r="H27" i="20"/>
  <c r="H28" i="20" s="1"/>
  <c r="G27" i="20"/>
  <c r="G28" i="20" s="1"/>
  <c r="F27" i="20"/>
  <c r="E27" i="20"/>
  <c r="D27" i="20"/>
  <c r="C27" i="20"/>
  <c r="B27" i="20"/>
  <c r="AM26" i="20"/>
  <c r="AD26" i="20"/>
  <c r="U26" i="20"/>
  <c r="U28" i="20" s="1"/>
  <c r="M26" i="20"/>
  <c r="H26" i="20"/>
  <c r="G26" i="20"/>
  <c r="D26" i="20" s="1"/>
  <c r="F26" i="20"/>
  <c r="E26" i="20"/>
  <c r="C26" i="20"/>
  <c r="C28" i="20" s="1"/>
  <c r="B26" i="20"/>
  <c r="B28" i="20" s="1"/>
  <c r="AQ25" i="20"/>
  <c r="AP25" i="20"/>
  <c r="AO25" i="20"/>
  <c r="AN25" i="20"/>
  <c r="AL25" i="20"/>
  <c r="AK25" i="20"/>
  <c r="AH25" i="20"/>
  <c r="AG25" i="20"/>
  <c r="AF25" i="20"/>
  <c r="AE25" i="20"/>
  <c r="AC25" i="20"/>
  <c r="AB25" i="20"/>
  <c r="Y25" i="20"/>
  <c r="X25" i="20"/>
  <c r="W25" i="20"/>
  <c r="V25" i="20"/>
  <c r="U25" i="20"/>
  <c r="T25" i="20"/>
  <c r="S25" i="20"/>
  <c r="Q25" i="20"/>
  <c r="P25" i="20"/>
  <c r="O25" i="20"/>
  <c r="N25" i="20"/>
  <c r="L25" i="20"/>
  <c r="K25" i="20"/>
  <c r="G25" i="20"/>
  <c r="F25" i="20"/>
  <c r="B25" i="20"/>
  <c r="AM24" i="20"/>
  <c r="AM25" i="20" s="1"/>
  <c r="AD24" i="20"/>
  <c r="AD25" i="20" s="1"/>
  <c r="U24" i="20"/>
  <c r="M24" i="20"/>
  <c r="M25" i="20" s="1"/>
  <c r="H24" i="20"/>
  <c r="H25" i="20" s="1"/>
  <c r="G24" i="20"/>
  <c r="F24" i="20"/>
  <c r="E24" i="20"/>
  <c r="D24" i="20" s="1"/>
  <c r="C24" i="20"/>
  <c r="B24" i="20"/>
  <c r="AM23" i="20"/>
  <c r="AD23" i="20"/>
  <c r="U23" i="20"/>
  <c r="M23" i="20"/>
  <c r="H23" i="20"/>
  <c r="H20" i="20" s="1"/>
  <c r="H9" i="20" s="1"/>
  <c r="G23" i="20"/>
  <c r="F23" i="20"/>
  <c r="E23" i="20"/>
  <c r="C23" i="20"/>
  <c r="C20" i="20" s="1"/>
  <c r="B23" i="20"/>
  <c r="AP22" i="20"/>
  <c r="AL22" i="20"/>
  <c r="AF22" i="20"/>
  <c r="AC22" i="20"/>
  <c r="AB22" i="20"/>
  <c r="V22" i="20"/>
  <c r="S22" i="20"/>
  <c r="Q22" i="20"/>
  <c r="AQ21" i="20"/>
  <c r="AP21" i="20"/>
  <c r="AP10" i="20" s="1"/>
  <c r="AP11" i="20" s="1"/>
  <c r="AO21" i="20"/>
  <c r="AO22" i="20" s="1"/>
  <c r="AN21" i="20"/>
  <c r="AN22" i="20" s="1"/>
  <c r="AL21" i="20"/>
  <c r="AL10" i="20" s="1"/>
  <c r="AL11" i="20" s="1"/>
  <c r="AK21" i="20"/>
  <c r="AK10" i="20" s="1"/>
  <c r="AK11" i="20" s="1"/>
  <c r="AH21" i="20"/>
  <c r="AG21" i="20"/>
  <c r="AF21" i="20"/>
  <c r="AF10" i="20" s="1"/>
  <c r="AE21" i="20"/>
  <c r="AE22" i="20" s="1"/>
  <c r="AD21" i="20"/>
  <c r="AD22" i="20" s="1"/>
  <c r="AC21" i="20"/>
  <c r="AB21" i="20"/>
  <c r="AB10" i="20" s="1"/>
  <c r="AB11" i="20" s="1"/>
  <c r="Y21" i="20"/>
  <c r="Y10" i="20" s="1"/>
  <c r="Y11" i="20" s="1"/>
  <c r="X21" i="20"/>
  <c r="W21" i="20"/>
  <c r="V21" i="20"/>
  <c r="V10" i="20" s="1"/>
  <c r="T21" i="20"/>
  <c r="T22" i="20" s="1"/>
  <c r="S21" i="20"/>
  <c r="Q21" i="20"/>
  <c r="Q10" i="20" s="1"/>
  <c r="Q11" i="20" s="1"/>
  <c r="P21" i="20"/>
  <c r="P10" i="20" s="1"/>
  <c r="O21" i="20"/>
  <c r="N21" i="20"/>
  <c r="L21" i="20"/>
  <c r="L22" i="20" s="1"/>
  <c r="K21" i="20"/>
  <c r="K22" i="20" s="1"/>
  <c r="F21" i="20"/>
  <c r="F10" i="20" s="1"/>
  <c r="AQ20" i="20"/>
  <c r="AQ22" i="20" s="1"/>
  <c r="AP20" i="20"/>
  <c r="AO20" i="20"/>
  <c r="AO9" i="20" s="1"/>
  <c r="AO11" i="20" s="1"/>
  <c r="AN20" i="20"/>
  <c r="AM20" i="20" s="1"/>
  <c r="AL20" i="20"/>
  <c r="AK20" i="20"/>
  <c r="AH20" i="20"/>
  <c r="AH22" i="20" s="1"/>
  <c r="AG20" i="20"/>
  <c r="AG22" i="20" s="1"/>
  <c r="AF20" i="20"/>
  <c r="AE20" i="20"/>
  <c r="AE9" i="20" s="1"/>
  <c r="AD20" i="20"/>
  <c r="AC20" i="20"/>
  <c r="AB20" i="20"/>
  <c r="Y20" i="20"/>
  <c r="Y9" i="20" s="1"/>
  <c r="X20" i="20"/>
  <c r="X22" i="20" s="1"/>
  <c r="W20" i="20"/>
  <c r="W22" i="20" s="1"/>
  <c r="V20" i="20"/>
  <c r="T20" i="20"/>
  <c r="T9" i="20" s="1"/>
  <c r="S20" i="20"/>
  <c r="Q20" i="20"/>
  <c r="P20" i="20"/>
  <c r="P9" i="20" s="1"/>
  <c r="O20" i="20"/>
  <c r="O22" i="20" s="1"/>
  <c r="N20" i="20"/>
  <c r="M20" i="20" s="1"/>
  <c r="L20" i="20"/>
  <c r="L9" i="20" s="1"/>
  <c r="L11" i="20" s="1"/>
  <c r="K20" i="20"/>
  <c r="K9" i="20" s="1"/>
  <c r="AM18" i="20"/>
  <c r="AD18" i="20"/>
  <c r="U18" i="20"/>
  <c r="M18" i="20"/>
  <c r="H18" i="20"/>
  <c r="G18" i="20"/>
  <c r="F18" i="20"/>
  <c r="E18" i="20"/>
  <c r="D18" i="20"/>
  <c r="C18" i="20"/>
  <c r="B18" i="20"/>
  <c r="AM17" i="20"/>
  <c r="AD17" i="20"/>
  <c r="U17" i="20"/>
  <c r="M17" i="20"/>
  <c r="H17" i="20"/>
  <c r="G17" i="20"/>
  <c r="D17" i="20" s="1"/>
  <c r="F17" i="20"/>
  <c r="E17" i="20"/>
  <c r="C17" i="20"/>
  <c r="B17" i="20"/>
  <c r="AM16" i="20"/>
  <c r="AD16" i="20"/>
  <c r="U16" i="20"/>
  <c r="M16" i="20"/>
  <c r="H16" i="20"/>
  <c r="G16" i="20"/>
  <c r="F16" i="20"/>
  <c r="E16" i="20"/>
  <c r="D16" i="20" s="1"/>
  <c r="C16" i="20"/>
  <c r="B16" i="20"/>
  <c r="AQ15" i="20"/>
  <c r="AP15" i="20"/>
  <c r="AO15" i="20"/>
  <c r="AN15" i="20"/>
  <c r="AM15" i="20"/>
  <c r="AL15" i="20"/>
  <c r="AK15" i="20"/>
  <c r="AH15" i="20"/>
  <c r="AG15" i="20"/>
  <c r="AF15" i="20"/>
  <c r="AE15" i="20"/>
  <c r="AC15" i="20"/>
  <c r="AB15" i="20"/>
  <c r="Y15" i="20"/>
  <c r="X15" i="20"/>
  <c r="W15" i="20"/>
  <c r="V15" i="20"/>
  <c r="U15" i="20"/>
  <c r="T15" i="20"/>
  <c r="S15" i="20"/>
  <c r="Q15" i="20"/>
  <c r="P15" i="20"/>
  <c r="O15" i="20"/>
  <c r="N15" i="20"/>
  <c r="L15" i="20"/>
  <c r="K15" i="20"/>
  <c r="E15" i="20"/>
  <c r="B15" i="20"/>
  <c r="AM14" i="20"/>
  <c r="AD14" i="20"/>
  <c r="AD15" i="20" s="1"/>
  <c r="U14" i="20"/>
  <c r="M14" i="20"/>
  <c r="M15" i="20" s="1"/>
  <c r="H14" i="20"/>
  <c r="G14" i="20"/>
  <c r="F14" i="20"/>
  <c r="E14" i="20"/>
  <c r="C14" i="20"/>
  <c r="C15" i="20" s="1"/>
  <c r="B14" i="20"/>
  <c r="AM13" i="20"/>
  <c r="AD13" i="20"/>
  <c r="U13" i="20"/>
  <c r="M13" i="20"/>
  <c r="H13" i="20"/>
  <c r="G13" i="20"/>
  <c r="G15" i="20" s="1"/>
  <c r="F13" i="20"/>
  <c r="F9" i="20" s="1"/>
  <c r="E13" i="20"/>
  <c r="C13" i="20"/>
  <c r="B13" i="20"/>
  <c r="AQ10" i="20"/>
  <c r="AQ11" i="20" s="1"/>
  <c r="AO10" i="20"/>
  <c r="AN10" i="20"/>
  <c r="AM10" i="20" s="1"/>
  <c r="AH10" i="20"/>
  <c r="AH11" i="20" s="1"/>
  <c r="AG10" i="20"/>
  <c r="AG11" i="20" s="1"/>
  <c r="AE10" i="20"/>
  <c r="AC10" i="20"/>
  <c r="X10" i="20"/>
  <c r="X11" i="20" s="1"/>
  <c r="W10" i="20"/>
  <c r="W11" i="20" s="1"/>
  <c r="T10" i="20"/>
  <c r="T11" i="20" s="1"/>
  <c r="S10" i="20"/>
  <c r="O10" i="20"/>
  <c r="O11" i="20" s="1"/>
  <c r="N10" i="20"/>
  <c r="N11" i="20" s="1"/>
  <c r="L10" i="20"/>
  <c r="K10" i="20"/>
  <c r="AQ9" i="20"/>
  <c r="AP9" i="20"/>
  <c r="AL9" i="20"/>
  <c r="AK9" i="20"/>
  <c r="AH9" i="20"/>
  <c r="AG9" i="20"/>
  <c r="AF9" i="20"/>
  <c r="AC9" i="20"/>
  <c r="AC11" i="20" s="1"/>
  <c r="AB9" i="20"/>
  <c r="X9" i="20"/>
  <c r="W9" i="20"/>
  <c r="V9" i="20"/>
  <c r="U9" i="20" s="1"/>
  <c r="S9" i="20"/>
  <c r="S11" i="20" s="1"/>
  <c r="Q9" i="20"/>
  <c r="O9" i="20"/>
  <c r="N9" i="20"/>
  <c r="AQ40" i="13"/>
  <c r="AP40" i="13"/>
  <c r="AO40" i="13"/>
  <c r="AN40" i="13"/>
  <c r="AM40" i="13"/>
  <c r="AL40" i="13"/>
  <c r="AK40" i="13"/>
  <c r="AH40" i="13"/>
  <c r="AG40" i="13"/>
  <c r="AF40" i="13"/>
  <c r="AE40" i="13"/>
  <c r="AD40" i="13"/>
  <c r="AC40" i="13"/>
  <c r="AB40" i="13"/>
  <c r="Y40" i="13"/>
  <c r="X40" i="13"/>
  <c r="W40" i="13"/>
  <c r="V40" i="13"/>
  <c r="U40" i="13"/>
  <c r="T40" i="13"/>
  <c r="S40" i="13"/>
  <c r="Q40" i="13"/>
  <c r="P40" i="13"/>
  <c r="O40" i="13"/>
  <c r="L40" i="13"/>
  <c r="G40" i="13"/>
  <c r="Q39" i="13"/>
  <c r="P39" i="13"/>
  <c r="O39" i="13"/>
  <c r="F39" i="13" s="1"/>
  <c r="N39" i="13"/>
  <c r="N40" i="13" s="1"/>
  <c r="M39" i="13"/>
  <c r="M40" i="13" s="1"/>
  <c r="L39" i="13"/>
  <c r="K39" i="13"/>
  <c r="K40" i="13" s="1"/>
  <c r="H39" i="13"/>
  <c r="H40" i="13" s="1"/>
  <c r="G39" i="13"/>
  <c r="C39" i="13"/>
  <c r="C40" i="13" s="1"/>
  <c r="B39" i="13"/>
  <c r="H38" i="13"/>
  <c r="G38" i="13"/>
  <c r="F38" i="13"/>
  <c r="E38" i="13"/>
  <c r="D38" i="13"/>
  <c r="C38" i="13"/>
  <c r="B38" i="13"/>
  <c r="B40" i="13" s="1"/>
  <c r="AQ37" i="13"/>
  <c r="AP37" i="13"/>
  <c r="AO37" i="13"/>
  <c r="AN37" i="13"/>
  <c r="AM37" i="13"/>
  <c r="AL37" i="13"/>
  <c r="AK37" i="13"/>
  <c r="AH37" i="13"/>
  <c r="AG37" i="13"/>
  <c r="AF37" i="13"/>
  <c r="AE37" i="13"/>
  <c r="AD37" i="13"/>
  <c r="AC37" i="13"/>
  <c r="AB37" i="13"/>
  <c r="Y37" i="13"/>
  <c r="X37" i="13"/>
  <c r="W37" i="13"/>
  <c r="V37" i="13"/>
  <c r="U37" i="13"/>
  <c r="T37" i="13"/>
  <c r="S37" i="13"/>
  <c r="Q37" i="13"/>
  <c r="P37" i="13"/>
  <c r="O37" i="13"/>
  <c r="N37" i="13"/>
  <c r="M37" i="13"/>
  <c r="L37" i="13"/>
  <c r="K37" i="13"/>
  <c r="G37" i="13"/>
  <c r="F37" i="13"/>
  <c r="E37" i="13"/>
  <c r="B37" i="13"/>
  <c r="H36" i="13"/>
  <c r="H37" i="13" s="1"/>
  <c r="G36" i="13"/>
  <c r="F36" i="13"/>
  <c r="E36" i="13"/>
  <c r="D36" i="13"/>
  <c r="D37" i="13" s="1"/>
  <c r="C36" i="13"/>
  <c r="C37" i="13" s="1"/>
  <c r="B36" i="13"/>
  <c r="H35" i="13"/>
  <c r="G35" i="13"/>
  <c r="F35" i="13"/>
  <c r="E35" i="13"/>
  <c r="D35" i="13"/>
  <c r="C35" i="13"/>
  <c r="B35" i="13"/>
  <c r="AQ34" i="13"/>
  <c r="AP34" i="13"/>
  <c r="AO34" i="13"/>
  <c r="AN34" i="13"/>
  <c r="AM34" i="13"/>
  <c r="AL34" i="13"/>
  <c r="AK34" i="13"/>
  <c r="AH34" i="13"/>
  <c r="AG34" i="13"/>
  <c r="AF34" i="13"/>
  <c r="AE34" i="13"/>
  <c r="AD34" i="13"/>
  <c r="AC34" i="13"/>
  <c r="AB34" i="13"/>
  <c r="Y34" i="13"/>
  <c r="X34" i="13"/>
  <c r="W34" i="13"/>
  <c r="V34" i="13"/>
  <c r="U34" i="13"/>
  <c r="T34" i="13"/>
  <c r="Q34" i="13"/>
  <c r="P34" i="13"/>
  <c r="O34" i="13"/>
  <c r="N34" i="13"/>
  <c r="M34" i="13"/>
  <c r="L34" i="13"/>
  <c r="K34" i="13"/>
  <c r="G34" i="13"/>
  <c r="F34" i="13"/>
  <c r="E34" i="13"/>
  <c r="B34" i="13"/>
  <c r="H33" i="13"/>
  <c r="H34" i="13" s="1"/>
  <c r="G33" i="13"/>
  <c r="F33" i="13"/>
  <c r="E33" i="13"/>
  <c r="D33" i="13"/>
  <c r="D34" i="13" s="1"/>
  <c r="C33" i="13"/>
  <c r="C34" i="13" s="1"/>
  <c r="B33" i="13"/>
  <c r="H32" i="13"/>
  <c r="G32" i="13"/>
  <c r="F32" i="13"/>
  <c r="E32" i="13"/>
  <c r="D32" i="13"/>
  <c r="C32" i="13"/>
  <c r="B32" i="13"/>
  <c r="AQ31" i="13"/>
  <c r="AP31" i="13"/>
  <c r="AO31" i="13"/>
  <c r="AN31" i="13"/>
  <c r="AM31" i="13"/>
  <c r="AL31" i="13"/>
  <c r="AK31" i="13"/>
  <c r="AH31" i="13"/>
  <c r="AG31" i="13"/>
  <c r="AF31" i="13"/>
  <c r="AE31" i="13"/>
  <c r="AD31" i="13"/>
  <c r="AC31" i="13"/>
  <c r="AB31" i="13"/>
  <c r="Y31" i="13"/>
  <c r="X31" i="13"/>
  <c r="S31" i="13"/>
  <c r="Q31" i="13"/>
  <c r="P31" i="13"/>
  <c r="G31" i="13"/>
  <c r="Y30" i="13"/>
  <c r="W30" i="13"/>
  <c r="W21" i="13" s="1"/>
  <c r="V30" i="13"/>
  <c r="V31" i="13" s="1"/>
  <c r="U30" i="13"/>
  <c r="U21" i="13" s="1"/>
  <c r="T30" i="13"/>
  <c r="T31" i="13" s="1"/>
  <c r="S30" i="13"/>
  <c r="Q30" i="13"/>
  <c r="H30" i="13" s="1"/>
  <c r="H31" i="13" s="1"/>
  <c r="P30" i="13"/>
  <c r="O30" i="13"/>
  <c r="O31" i="13" s="1"/>
  <c r="N30" i="13"/>
  <c r="N31" i="13" s="1"/>
  <c r="M30" i="13"/>
  <c r="M31" i="13" s="1"/>
  <c r="L30" i="13"/>
  <c r="L21" i="13" s="1"/>
  <c r="K30" i="13"/>
  <c r="K31" i="13" s="1"/>
  <c r="G30" i="13"/>
  <c r="B30" i="13"/>
  <c r="B21" i="13" s="1"/>
  <c r="H29" i="13"/>
  <c r="G29" i="13"/>
  <c r="F29" i="13"/>
  <c r="E29" i="13"/>
  <c r="D29" i="13"/>
  <c r="C29" i="13"/>
  <c r="B29" i="13"/>
  <c r="AQ28" i="13"/>
  <c r="AP28" i="13"/>
  <c r="AO28" i="13"/>
  <c r="AN28" i="13"/>
  <c r="AL28" i="13"/>
  <c r="AK28" i="13"/>
  <c r="AH28" i="13"/>
  <c r="AG28" i="13"/>
  <c r="AF28" i="13"/>
  <c r="AE28" i="13"/>
  <c r="AD28" i="13"/>
  <c r="AC28" i="13"/>
  <c r="AB28" i="13"/>
  <c r="Y28" i="13"/>
  <c r="X28" i="13"/>
  <c r="W28" i="13"/>
  <c r="V28" i="13"/>
  <c r="U28" i="13"/>
  <c r="T28" i="13"/>
  <c r="S28" i="13"/>
  <c r="Q28" i="13"/>
  <c r="P28" i="13"/>
  <c r="O28" i="13"/>
  <c r="N28" i="13"/>
  <c r="M28" i="13"/>
  <c r="L28" i="13"/>
  <c r="K28" i="13"/>
  <c r="F28" i="13"/>
  <c r="E28" i="13"/>
  <c r="D28" i="13"/>
  <c r="H27" i="13"/>
  <c r="H28" i="13" s="1"/>
  <c r="G27" i="13"/>
  <c r="G28" i="13" s="1"/>
  <c r="F27" i="13"/>
  <c r="E27" i="13"/>
  <c r="D27" i="13"/>
  <c r="C27" i="13"/>
  <c r="C28" i="13" s="1"/>
  <c r="B27" i="13"/>
  <c r="B28" i="13" s="1"/>
  <c r="AM26" i="13"/>
  <c r="AM28" i="13" s="1"/>
  <c r="H26" i="13"/>
  <c r="G26" i="13"/>
  <c r="F26" i="13"/>
  <c r="E26" i="13"/>
  <c r="D26" i="13"/>
  <c r="C26" i="13"/>
  <c r="B26" i="13"/>
  <c r="AQ25" i="13"/>
  <c r="AP25" i="13"/>
  <c r="AO25" i="13"/>
  <c r="AN25" i="13"/>
  <c r="AL25" i="13"/>
  <c r="AK25" i="13"/>
  <c r="AH25" i="13"/>
  <c r="AG25" i="13"/>
  <c r="AF25" i="13"/>
  <c r="AE25" i="13"/>
  <c r="AD25" i="13"/>
  <c r="AC25" i="13"/>
  <c r="AB25" i="13"/>
  <c r="AM23" i="13"/>
  <c r="AM25" i="13" s="1"/>
  <c r="U23" i="13"/>
  <c r="M23" i="13" s="1"/>
  <c r="Q23" i="13"/>
  <c r="Q20" i="13" s="1"/>
  <c r="P23" i="13"/>
  <c r="P25" i="13" s="1"/>
  <c r="O23" i="13"/>
  <c r="O25" i="13" s="1"/>
  <c r="N23" i="13"/>
  <c r="N25" i="13" s="1"/>
  <c r="L23" i="13"/>
  <c r="L25" i="13" s="1"/>
  <c r="K23" i="13"/>
  <c r="K25" i="13" s="1"/>
  <c r="G23" i="13"/>
  <c r="G25" i="13" s="1"/>
  <c r="F23" i="13"/>
  <c r="F25" i="13" s="1"/>
  <c r="C23" i="13"/>
  <c r="C25" i="13" s="1"/>
  <c r="AQ22" i="13"/>
  <c r="AP22" i="13"/>
  <c r="AO22" i="13"/>
  <c r="AG22" i="13"/>
  <c r="AF22" i="13"/>
  <c r="AE22" i="13"/>
  <c r="AQ21" i="13"/>
  <c r="AP21" i="13"/>
  <c r="AO21" i="13"/>
  <c r="AN21" i="13"/>
  <c r="AN22" i="13" s="1"/>
  <c r="AM21" i="13"/>
  <c r="AM22" i="13" s="1"/>
  <c r="AL21" i="13"/>
  <c r="AL22" i="13" s="1"/>
  <c r="AK21" i="13"/>
  <c r="AK22" i="13" s="1"/>
  <c r="AH21" i="13"/>
  <c r="AH22" i="13" s="1"/>
  <c r="AG21" i="13"/>
  <c r="AF21" i="13"/>
  <c r="AE21" i="13"/>
  <c r="AD21" i="13"/>
  <c r="AD22" i="13" s="1"/>
  <c r="AC21" i="13"/>
  <c r="AC22" i="13" s="1"/>
  <c r="AB21" i="13"/>
  <c r="AB22" i="13" s="1"/>
  <c r="Y21" i="13"/>
  <c r="Y22" i="13" s="1"/>
  <c r="X21" i="13"/>
  <c r="X22" i="13" s="1"/>
  <c r="T21" i="13"/>
  <c r="T22" i="13" s="1"/>
  <c r="S21" i="13"/>
  <c r="S22" i="13" s="1"/>
  <c r="Q21" i="13"/>
  <c r="P21" i="13"/>
  <c r="P22" i="13" s="1"/>
  <c r="O21" i="13"/>
  <c r="O22" i="13" s="1"/>
  <c r="K21" i="13"/>
  <c r="K22" i="13" s="1"/>
  <c r="G21" i="13"/>
  <c r="AQ20" i="13"/>
  <c r="AP20" i="13"/>
  <c r="AO20" i="13"/>
  <c r="AN20" i="13"/>
  <c r="AM20" i="13"/>
  <c r="AL20" i="13"/>
  <c r="AK20" i="13"/>
  <c r="AH20" i="13"/>
  <c r="AG20" i="13"/>
  <c r="AF20" i="13"/>
  <c r="AE20" i="13"/>
  <c r="AD20" i="13"/>
  <c r="AC20" i="13"/>
  <c r="AB20" i="13"/>
  <c r="Y20" i="13"/>
  <c r="X20" i="13"/>
  <c r="G20" i="13" s="1"/>
  <c r="W20" i="13"/>
  <c r="V20" i="13"/>
  <c r="T20" i="13"/>
  <c r="S20" i="13"/>
  <c r="P20" i="13"/>
  <c r="O20" i="13"/>
  <c r="F20" i="13" s="1"/>
  <c r="L20" i="13"/>
  <c r="C20" i="13" s="1"/>
  <c r="K20" i="13"/>
  <c r="B20" i="13" s="1"/>
  <c r="H17" i="13"/>
  <c r="G17" i="13"/>
  <c r="F17" i="13"/>
  <c r="E17" i="13"/>
  <c r="D17" i="13"/>
  <c r="C17" i="13"/>
  <c r="B17" i="13"/>
  <c r="H16" i="13"/>
  <c r="G16" i="13"/>
  <c r="F16" i="13"/>
  <c r="E16" i="13"/>
  <c r="D16" i="13"/>
  <c r="C16" i="13"/>
  <c r="B16" i="13"/>
  <c r="AQ15" i="13"/>
  <c r="AP15" i="13"/>
  <c r="AO15" i="13"/>
  <c r="AN15" i="13"/>
  <c r="AM15" i="13"/>
  <c r="AL15" i="13"/>
  <c r="AK15" i="13"/>
  <c r="AH15" i="13"/>
  <c r="AG15" i="13"/>
  <c r="AF15" i="13"/>
  <c r="AE15" i="13"/>
  <c r="AD15" i="13"/>
  <c r="AC15" i="13"/>
  <c r="AB15" i="13"/>
  <c r="Y15" i="13"/>
  <c r="X15" i="13"/>
  <c r="W15" i="13"/>
  <c r="V15" i="13"/>
  <c r="U15" i="13"/>
  <c r="T15" i="13"/>
  <c r="S15" i="13"/>
  <c r="Q15" i="13"/>
  <c r="P15" i="13"/>
  <c r="O15" i="13"/>
  <c r="N15" i="13"/>
  <c r="M15" i="13"/>
  <c r="L15" i="13"/>
  <c r="K15" i="13"/>
  <c r="F15" i="13"/>
  <c r="C15" i="13"/>
  <c r="B15" i="13"/>
  <c r="H14" i="13"/>
  <c r="H15" i="13" s="1"/>
  <c r="G14" i="13"/>
  <c r="G15" i="13" s="1"/>
  <c r="F14" i="13"/>
  <c r="E14" i="13"/>
  <c r="E15" i="13" s="1"/>
  <c r="D14" i="13"/>
  <c r="D15" i="13" s="1"/>
  <c r="C14" i="13"/>
  <c r="B14" i="13"/>
  <c r="H13" i="13"/>
  <c r="G13" i="13"/>
  <c r="F13" i="13"/>
  <c r="E13" i="13"/>
  <c r="D13" i="13"/>
  <c r="C13" i="13"/>
  <c r="B13" i="13"/>
  <c r="AQ11" i="13"/>
  <c r="AP11" i="13"/>
  <c r="AO11" i="13"/>
  <c r="AG11" i="13"/>
  <c r="AF11" i="13"/>
  <c r="AE11" i="13"/>
  <c r="AQ10" i="13"/>
  <c r="AP10" i="13"/>
  <c r="AO10" i="13"/>
  <c r="AN10" i="13"/>
  <c r="AN11" i="13" s="1"/>
  <c r="AM10" i="13"/>
  <c r="AM11" i="13" s="1"/>
  <c r="AL10" i="13"/>
  <c r="AL11" i="13" s="1"/>
  <c r="AK10" i="13"/>
  <c r="AK11" i="13" s="1"/>
  <c r="AH10" i="13"/>
  <c r="AH11" i="13" s="1"/>
  <c r="AG10" i="13"/>
  <c r="AF10" i="13"/>
  <c r="AE10" i="13"/>
  <c r="AD10" i="13"/>
  <c r="AD11" i="13" s="1"/>
  <c r="AC10" i="13"/>
  <c r="AC11" i="13" s="1"/>
  <c r="AB10" i="13"/>
  <c r="AB11" i="13" s="1"/>
  <c r="Y10" i="13"/>
  <c r="Y11" i="13" s="1"/>
  <c r="X10" i="13"/>
  <c r="X11" i="13" s="1"/>
  <c r="T10" i="13"/>
  <c r="T11" i="13" s="1"/>
  <c r="S10" i="13"/>
  <c r="S11" i="13" s="1"/>
  <c r="Q10" i="13"/>
  <c r="P10" i="13"/>
  <c r="P11" i="13" s="1"/>
  <c r="O10" i="13"/>
  <c r="O11" i="13" s="1"/>
  <c r="K10" i="13"/>
  <c r="K11" i="13" s="1"/>
  <c r="G10" i="13"/>
  <c r="AQ9" i="13"/>
  <c r="AP9" i="13"/>
  <c r="AO9" i="13"/>
  <c r="AN9" i="13"/>
  <c r="AM9" i="13"/>
  <c r="AL9" i="13"/>
  <c r="AK9" i="13"/>
  <c r="AH9" i="13"/>
  <c r="AG9" i="13"/>
  <c r="AF9" i="13"/>
  <c r="AE9" i="13"/>
  <c r="AD9" i="13"/>
  <c r="AC9" i="13"/>
  <c r="AB9" i="13"/>
  <c r="Y9" i="13"/>
  <c r="X9" i="13"/>
  <c r="G9" i="13" s="1"/>
  <c r="W9" i="13"/>
  <c r="V9" i="13"/>
  <c r="T9" i="13"/>
  <c r="S9" i="13"/>
  <c r="P9" i="13"/>
  <c r="O9" i="13"/>
  <c r="F9" i="13" s="1"/>
  <c r="L9" i="13"/>
  <c r="C9" i="13" s="1"/>
  <c r="K9" i="13"/>
  <c r="B9" i="13" s="1"/>
  <c r="P11" i="20" l="1"/>
  <c r="C22" i="20"/>
  <c r="D28" i="20"/>
  <c r="F11" i="20"/>
  <c r="AD9" i="20"/>
  <c r="AE11" i="20"/>
  <c r="H10" i="20"/>
  <c r="H11" i="20" s="1"/>
  <c r="M9" i="20"/>
  <c r="K11" i="20"/>
  <c r="C9" i="20"/>
  <c r="V11" i="20"/>
  <c r="U10" i="20"/>
  <c r="U11" i="20" s="1"/>
  <c r="AF11" i="20"/>
  <c r="AD10" i="20"/>
  <c r="AD11" i="20" s="1"/>
  <c r="D25" i="20"/>
  <c r="D13" i="20"/>
  <c r="F15" i="20"/>
  <c r="B20" i="20"/>
  <c r="B9" i="20" s="1"/>
  <c r="U20" i="20"/>
  <c r="G21" i="20"/>
  <c r="N22" i="20"/>
  <c r="C25" i="20"/>
  <c r="D30" i="20"/>
  <c r="D31" i="20" s="1"/>
  <c r="D38" i="20"/>
  <c r="C10" i="20"/>
  <c r="M10" i="20"/>
  <c r="M11" i="20" s="1"/>
  <c r="H21" i="20"/>
  <c r="H22" i="20" s="1"/>
  <c r="AM21" i="20"/>
  <c r="AM22" i="20" s="1"/>
  <c r="D33" i="20"/>
  <c r="D34" i="20" s="1"/>
  <c r="Y22" i="20"/>
  <c r="D14" i="20"/>
  <c r="D15" i="20" s="1"/>
  <c r="U21" i="20"/>
  <c r="D39" i="20"/>
  <c r="D40" i="20" s="1"/>
  <c r="F22" i="20"/>
  <c r="AK22" i="20"/>
  <c r="E20" i="20"/>
  <c r="AN9" i="20"/>
  <c r="AM9" i="20" s="1"/>
  <c r="AM11" i="20" s="1"/>
  <c r="H15" i="20"/>
  <c r="E25" i="20"/>
  <c r="B21" i="20"/>
  <c r="D23" i="20"/>
  <c r="M21" i="20"/>
  <c r="M22" i="20" s="1"/>
  <c r="G20" i="20"/>
  <c r="G9" i="20" s="1"/>
  <c r="P22" i="20"/>
  <c r="C31" i="20"/>
  <c r="E21" i="20"/>
  <c r="Q22" i="13"/>
  <c r="L22" i="13"/>
  <c r="L10" i="13"/>
  <c r="L11" i="13" s="1"/>
  <c r="U10" i="13"/>
  <c r="Q9" i="13"/>
  <c r="H9" i="13" s="1"/>
  <c r="H20" i="13"/>
  <c r="D23" i="13"/>
  <c r="D25" i="13" s="1"/>
  <c r="M25" i="13"/>
  <c r="M20" i="13"/>
  <c r="F40" i="13"/>
  <c r="G22" i="13"/>
  <c r="G11" i="13"/>
  <c r="B10" i="13"/>
  <c r="B11" i="13" s="1"/>
  <c r="B22" i="13"/>
  <c r="W10" i="13"/>
  <c r="W11" i="13" s="1"/>
  <c r="W22" i="13"/>
  <c r="D39" i="13"/>
  <c r="H21" i="13"/>
  <c r="B23" i="13"/>
  <c r="B25" i="13" s="1"/>
  <c r="E30" i="13"/>
  <c r="E31" i="13" s="1"/>
  <c r="U20" i="13"/>
  <c r="U9" i="13" s="1"/>
  <c r="D30" i="13"/>
  <c r="D31" i="13" s="1"/>
  <c r="E39" i="13"/>
  <c r="N20" i="13"/>
  <c r="F30" i="13"/>
  <c r="F31" i="13" s="1"/>
  <c r="B31" i="13"/>
  <c r="L31" i="13"/>
  <c r="U31" i="13"/>
  <c r="Q25" i="13"/>
  <c r="H23" i="13"/>
  <c r="H25" i="13" s="1"/>
  <c r="C30" i="13"/>
  <c r="C31" i="13" s="1"/>
  <c r="C21" i="13"/>
  <c r="M21" i="13"/>
  <c r="V21" i="13"/>
  <c r="E23" i="13"/>
  <c r="E25" i="13" s="1"/>
  <c r="W31" i="13"/>
  <c r="N21" i="13"/>
  <c r="D21" i="20" l="1"/>
  <c r="E10" i="20"/>
  <c r="E22" i="20"/>
  <c r="D20" i="20"/>
  <c r="E9" i="20"/>
  <c r="D9" i="20" s="1"/>
  <c r="G10" i="20"/>
  <c r="G11" i="20" s="1"/>
  <c r="G22" i="20"/>
  <c r="AN11" i="20"/>
  <c r="C11" i="20"/>
  <c r="B22" i="20"/>
  <c r="B10" i="20"/>
  <c r="B11" i="20" s="1"/>
  <c r="U22" i="20"/>
  <c r="U11" i="13"/>
  <c r="M10" i="13"/>
  <c r="M22" i="13"/>
  <c r="D40" i="13"/>
  <c r="D21" i="13"/>
  <c r="D22" i="13" s="1"/>
  <c r="F21" i="13"/>
  <c r="N10" i="13"/>
  <c r="N22" i="13"/>
  <c r="U22" i="13"/>
  <c r="H22" i="13"/>
  <c r="H10" i="13"/>
  <c r="H11" i="13" s="1"/>
  <c r="E20" i="13"/>
  <c r="N9" i="13"/>
  <c r="E9" i="13" s="1"/>
  <c r="E40" i="13"/>
  <c r="E21" i="13"/>
  <c r="V10" i="13"/>
  <c r="V11" i="13" s="1"/>
  <c r="V22" i="13"/>
  <c r="C10" i="13"/>
  <c r="C11" i="13" s="1"/>
  <c r="C22" i="13"/>
  <c r="D20" i="13"/>
  <c r="M9" i="13"/>
  <c r="D9" i="13" s="1"/>
  <c r="Q11" i="13"/>
  <c r="E11" i="20" l="1"/>
  <c r="D10" i="20"/>
  <c r="D11" i="20" s="1"/>
  <c r="D22" i="20"/>
  <c r="E10" i="13"/>
  <c r="E22" i="13"/>
  <c r="N11" i="13"/>
  <c r="F10" i="13"/>
  <c r="F11" i="13" s="1"/>
  <c r="F22" i="13"/>
  <c r="M11" i="13"/>
  <c r="D10" i="13" l="1"/>
  <c r="D11" i="13" s="1"/>
  <c r="E11" i="13"/>
  <c r="AQ40" i="19" l="1"/>
  <c r="AP40" i="19"/>
  <c r="AO40" i="19"/>
  <c r="AN40" i="19"/>
  <c r="AL40" i="19"/>
  <c r="AK40" i="19"/>
  <c r="AF40" i="19"/>
  <c r="X40" i="19"/>
  <c r="V40" i="19"/>
  <c r="P40" i="19"/>
  <c r="O40" i="19"/>
  <c r="AH39" i="19"/>
  <c r="AH40" i="19" s="1"/>
  <c r="AG39" i="19"/>
  <c r="AG40" i="19" s="1"/>
  <c r="AF39" i="19"/>
  <c r="AE39" i="19"/>
  <c r="AE40" i="19" s="1"/>
  <c r="AD39" i="19"/>
  <c r="AD40" i="19" s="1"/>
  <c r="AC39" i="19"/>
  <c r="AC40" i="19" s="1"/>
  <c r="AB39" i="19"/>
  <c r="AB40" i="19" s="1"/>
  <c r="Y39" i="19"/>
  <c r="Y40" i="19" s="1"/>
  <c r="X39" i="19"/>
  <c r="W39" i="19"/>
  <c r="W40" i="19" s="1"/>
  <c r="V39" i="19"/>
  <c r="U39" i="19"/>
  <c r="U40" i="19" s="1"/>
  <c r="T39" i="19"/>
  <c r="T40" i="19" s="1"/>
  <c r="S39" i="19"/>
  <c r="S40" i="19" s="1"/>
  <c r="Q39" i="19"/>
  <c r="H39" i="19" s="1"/>
  <c r="H40" i="19" s="1"/>
  <c r="P39" i="19"/>
  <c r="O39" i="19"/>
  <c r="F39" i="19" s="1"/>
  <c r="F40" i="19" s="1"/>
  <c r="N39" i="19"/>
  <c r="N40" i="19" s="1"/>
  <c r="M39" i="19"/>
  <c r="L39" i="19"/>
  <c r="L40" i="19" s="1"/>
  <c r="K39" i="19"/>
  <c r="K40" i="19" s="1"/>
  <c r="G39" i="19"/>
  <c r="G40" i="19" s="1"/>
  <c r="E39" i="19"/>
  <c r="D39" i="19" s="1"/>
  <c r="AM38" i="19"/>
  <c r="AM40" i="19" s="1"/>
  <c r="AF38" i="19"/>
  <c r="AD38" i="19"/>
  <c r="U38" i="19"/>
  <c r="M38" i="19"/>
  <c r="M40" i="19" s="1"/>
  <c r="H38" i="19"/>
  <c r="G38" i="19"/>
  <c r="F38" i="19"/>
  <c r="E38" i="19"/>
  <c r="D38" i="19" s="1"/>
  <c r="C38" i="19"/>
  <c r="B38" i="19"/>
  <c r="AQ37" i="19"/>
  <c r="AP37" i="19"/>
  <c r="AO37" i="19"/>
  <c r="AN37" i="19"/>
  <c r="AM37" i="19"/>
  <c r="AL37" i="19"/>
  <c r="AK37" i="19"/>
  <c r="AH37" i="19"/>
  <c r="AG37" i="19"/>
  <c r="AF37" i="19"/>
  <c r="AE37" i="19"/>
  <c r="AD37" i="19"/>
  <c r="AC37" i="19"/>
  <c r="AB37" i="19"/>
  <c r="W37" i="19"/>
  <c r="T37" i="19"/>
  <c r="S37" i="19"/>
  <c r="N37" i="19"/>
  <c r="L37" i="19"/>
  <c r="K37" i="19"/>
  <c r="Y36" i="19"/>
  <c r="Y37" i="19" s="1"/>
  <c r="X36" i="19"/>
  <c r="X37" i="19" s="1"/>
  <c r="W36" i="19"/>
  <c r="V36" i="19"/>
  <c r="V37" i="19" s="1"/>
  <c r="U36" i="19"/>
  <c r="T36" i="19"/>
  <c r="C36" i="19" s="1"/>
  <c r="C37" i="19" s="1"/>
  <c r="S36" i="19"/>
  <c r="Q36" i="19"/>
  <c r="Q37" i="19" s="1"/>
  <c r="P36" i="19"/>
  <c r="P37" i="19" s="1"/>
  <c r="O36" i="19"/>
  <c r="O37" i="19" s="1"/>
  <c r="N36" i="19"/>
  <c r="M36" i="19"/>
  <c r="M37" i="19" s="1"/>
  <c r="L36" i="19"/>
  <c r="K36" i="19"/>
  <c r="B36" i="19" s="1"/>
  <c r="B37" i="19" s="1"/>
  <c r="E36" i="19"/>
  <c r="AM35" i="19"/>
  <c r="AD35" i="19"/>
  <c r="U35" i="19"/>
  <c r="U37" i="19" s="1"/>
  <c r="M35" i="19"/>
  <c r="H35" i="19"/>
  <c r="D35" i="19" s="1"/>
  <c r="G35" i="19"/>
  <c r="F35" i="19"/>
  <c r="E35" i="19"/>
  <c r="C35" i="19"/>
  <c r="B35" i="19"/>
  <c r="AQ34" i="19"/>
  <c r="AP34" i="19"/>
  <c r="AO34" i="19"/>
  <c r="AN34" i="19"/>
  <c r="AL34" i="19"/>
  <c r="AK34" i="19"/>
  <c r="AH34" i="19"/>
  <c r="AG34" i="19"/>
  <c r="AF34" i="19"/>
  <c r="AE34" i="19"/>
  <c r="AC34" i="19"/>
  <c r="AB34" i="19"/>
  <c r="Y34" i="19"/>
  <c r="X34" i="19"/>
  <c r="W34" i="19"/>
  <c r="V34" i="19"/>
  <c r="T34" i="19"/>
  <c r="S34" i="19"/>
  <c r="Q34" i="19"/>
  <c r="P34" i="19"/>
  <c r="O34" i="19"/>
  <c r="N34" i="19"/>
  <c r="M34" i="19"/>
  <c r="L34" i="19"/>
  <c r="K34" i="19"/>
  <c r="G34" i="19"/>
  <c r="C34" i="19"/>
  <c r="H33" i="19"/>
  <c r="H34" i="19" s="1"/>
  <c r="G33" i="19"/>
  <c r="F33" i="19"/>
  <c r="F34" i="19" s="1"/>
  <c r="E33" i="19"/>
  <c r="C33" i="19"/>
  <c r="B33" i="19"/>
  <c r="B34" i="19" s="1"/>
  <c r="AM32" i="19"/>
  <c r="AM34" i="19" s="1"/>
  <c r="AD32" i="19"/>
  <c r="AD34" i="19" s="1"/>
  <c r="U32" i="19"/>
  <c r="U34" i="19" s="1"/>
  <c r="H32" i="19"/>
  <c r="G32" i="19"/>
  <c r="F32" i="19"/>
  <c r="E32" i="19"/>
  <c r="E34" i="19" s="1"/>
  <c r="D32" i="19"/>
  <c r="C32" i="19"/>
  <c r="B32" i="19"/>
  <c r="AQ31" i="19"/>
  <c r="AP31" i="19"/>
  <c r="AO31" i="19"/>
  <c r="AN31" i="19"/>
  <c r="AM31" i="19"/>
  <c r="AL31" i="19"/>
  <c r="AK31" i="19"/>
  <c r="AH31" i="19"/>
  <c r="AG31" i="19"/>
  <c r="AF31" i="19"/>
  <c r="AE31" i="19"/>
  <c r="AD31" i="19"/>
  <c r="AC31" i="19"/>
  <c r="AB31" i="19"/>
  <c r="V31" i="19"/>
  <c r="T31" i="19"/>
  <c r="S31" i="19"/>
  <c r="Q31" i="19"/>
  <c r="P31" i="19"/>
  <c r="O31" i="19"/>
  <c r="N31" i="19"/>
  <c r="L31" i="19"/>
  <c r="K31" i="19"/>
  <c r="C31" i="19"/>
  <c r="Y30" i="19"/>
  <c r="Y31" i="19" s="1"/>
  <c r="X30" i="19"/>
  <c r="X31" i="19" s="1"/>
  <c r="W30" i="19"/>
  <c r="W21" i="19" s="1"/>
  <c r="V30" i="19"/>
  <c r="U30" i="19"/>
  <c r="T30" i="19"/>
  <c r="S30" i="19"/>
  <c r="B30" i="19" s="1"/>
  <c r="B31" i="19" s="1"/>
  <c r="E30" i="19"/>
  <c r="C30" i="19"/>
  <c r="AM29" i="19"/>
  <c r="AD29" i="19"/>
  <c r="Y29" i="19"/>
  <c r="X29" i="19"/>
  <c r="G29" i="19" s="1"/>
  <c r="G20" i="19" s="1"/>
  <c r="G9" i="19" s="1"/>
  <c r="W29" i="19"/>
  <c r="U29" i="19" s="1"/>
  <c r="V29" i="19"/>
  <c r="Q29" i="19"/>
  <c r="H29" i="19" s="1"/>
  <c r="M29" i="19"/>
  <c r="M31" i="19" s="1"/>
  <c r="E29" i="19"/>
  <c r="C29" i="19"/>
  <c r="C20" i="19" s="1"/>
  <c r="C9" i="19" s="1"/>
  <c r="B29" i="19"/>
  <c r="AQ28" i="19"/>
  <c r="AP28" i="19"/>
  <c r="AO28" i="19"/>
  <c r="AN28" i="19"/>
  <c r="AM28" i="19"/>
  <c r="AL28" i="19"/>
  <c r="AK28" i="19"/>
  <c r="AH28" i="19"/>
  <c r="AG28" i="19"/>
  <c r="AF28" i="19"/>
  <c r="AE28" i="19"/>
  <c r="AD28" i="19"/>
  <c r="AC28" i="19"/>
  <c r="AB28" i="19"/>
  <c r="W28" i="19"/>
  <c r="T28" i="19"/>
  <c r="S28" i="19"/>
  <c r="N28" i="19"/>
  <c r="L28" i="19"/>
  <c r="K28" i="19"/>
  <c r="Y27" i="19"/>
  <c r="Y28" i="19" s="1"/>
  <c r="X27" i="19"/>
  <c r="X28" i="19" s="1"/>
  <c r="W27" i="19"/>
  <c r="V27" i="19"/>
  <c r="V28" i="19" s="1"/>
  <c r="U27" i="19"/>
  <c r="T27" i="19"/>
  <c r="C27" i="19" s="1"/>
  <c r="C28" i="19" s="1"/>
  <c r="S27" i="19"/>
  <c r="Q27" i="19"/>
  <c r="Q28" i="19" s="1"/>
  <c r="P27" i="19"/>
  <c r="P28" i="19" s="1"/>
  <c r="O27" i="19"/>
  <c r="O28" i="19" s="1"/>
  <c r="N27" i="19"/>
  <c r="M27" i="19"/>
  <c r="M28" i="19" s="1"/>
  <c r="L27" i="19"/>
  <c r="K27" i="19"/>
  <c r="B27" i="19" s="1"/>
  <c r="B28" i="19" s="1"/>
  <c r="E27" i="19"/>
  <c r="AM26" i="19"/>
  <c r="AD26" i="19"/>
  <c r="U26" i="19"/>
  <c r="U28" i="19" s="1"/>
  <c r="M26" i="19"/>
  <c r="H26" i="19"/>
  <c r="D26" i="19" s="1"/>
  <c r="G26" i="19"/>
  <c r="F26" i="19"/>
  <c r="E26" i="19"/>
  <c r="C26" i="19"/>
  <c r="B26" i="19"/>
  <c r="AQ25" i="19"/>
  <c r="AP25" i="19"/>
  <c r="AO25" i="19"/>
  <c r="AN25" i="19"/>
  <c r="AL25" i="19"/>
  <c r="AK25" i="19"/>
  <c r="AG25" i="19"/>
  <c r="AF25" i="19"/>
  <c r="W25" i="19"/>
  <c r="V25" i="19"/>
  <c r="T25" i="19"/>
  <c r="N25" i="19"/>
  <c r="M25" i="19"/>
  <c r="K25" i="19"/>
  <c r="C25" i="19"/>
  <c r="AH24" i="19"/>
  <c r="AH21" i="19" s="1"/>
  <c r="AH22" i="19" s="1"/>
  <c r="AG24" i="19"/>
  <c r="AF24" i="19"/>
  <c r="AF21" i="19" s="1"/>
  <c r="AE24" i="19"/>
  <c r="AE25" i="19" s="1"/>
  <c r="AD24" i="19"/>
  <c r="AD21" i="19" s="1"/>
  <c r="AD22" i="19" s="1"/>
  <c r="AC24" i="19"/>
  <c r="AC25" i="19" s="1"/>
  <c r="AB24" i="19"/>
  <c r="AB25" i="19" s="1"/>
  <c r="Y24" i="19"/>
  <c r="Y25" i="19" s="1"/>
  <c r="X24" i="19"/>
  <c r="X21" i="19" s="1"/>
  <c r="X22" i="19" s="1"/>
  <c r="W24" i="19"/>
  <c r="V24" i="19"/>
  <c r="E24" i="19" s="1"/>
  <c r="U24" i="19"/>
  <c r="T24" i="19"/>
  <c r="T21" i="19" s="1"/>
  <c r="T22" i="19" s="1"/>
  <c r="S24" i="19"/>
  <c r="S25" i="19" s="1"/>
  <c r="Q24" i="19"/>
  <c r="Q25" i="19" s="1"/>
  <c r="P24" i="19"/>
  <c r="P25" i="19" s="1"/>
  <c r="O24" i="19"/>
  <c r="F24" i="19" s="1"/>
  <c r="N24" i="19"/>
  <c r="M24" i="19"/>
  <c r="M21" i="19" s="1"/>
  <c r="L24" i="19"/>
  <c r="L25" i="19" s="1"/>
  <c r="K24" i="19"/>
  <c r="B24" i="19" s="1"/>
  <c r="G24" i="19"/>
  <c r="G25" i="19" s="1"/>
  <c r="C24" i="19"/>
  <c r="AM23" i="19"/>
  <c r="AM20" i="19" s="1"/>
  <c r="AD23" i="19"/>
  <c r="AD25" i="19" s="1"/>
  <c r="Y23" i="19"/>
  <c r="Y20" i="19" s="1"/>
  <c r="Y9" i="19" s="1"/>
  <c r="X23" i="19"/>
  <c r="W23" i="19"/>
  <c r="F23" i="19" s="1"/>
  <c r="V23" i="19"/>
  <c r="T23" i="19"/>
  <c r="S23" i="19"/>
  <c r="S20" i="19" s="1"/>
  <c r="S9" i="19" s="1"/>
  <c r="M23" i="19"/>
  <c r="M20" i="19" s="1"/>
  <c r="M9" i="19" s="1"/>
  <c r="H23" i="19"/>
  <c r="H20" i="19" s="1"/>
  <c r="G23" i="19"/>
  <c r="E23" i="19"/>
  <c r="C23" i="19"/>
  <c r="B23" i="19"/>
  <c r="AQ22" i="19"/>
  <c r="AP22" i="19"/>
  <c r="AG22" i="19"/>
  <c r="N22" i="19"/>
  <c r="AQ21" i="19"/>
  <c r="AQ10" i="19" s="1"/>
  <c r="AQ11" i="19" s="1"/>
  <c r="AP21" i="19"/>
  <c r="AO21" i="19"/>
  <c r="AO22" i="19" s="1"/>
  <c r="AN21" i="19"/>
  <c r="AM21" i="19"/>
  <c r="AM22" i="19" s="1"/>
  <c r="AL21" i="19"/>
  <c r="AL10" i="19" s="1"/>
  <c r="AL11" i="19" s="1"/>
  <c r="AK21" i="19"/>
  <c r="AK10" i="19" s="1"/>
  <c r="AK11" i="19" s="1"/>
  <c r="AG21" i="19"/>
  <c r="AG10" i="19" s="1"/>
  <c r="AG11" i="19" s="1"/>
  <c r="AE21" i="19"/>
  <c r="AE22" i="19" s="1"/>
  <c r="Y21" i="19"/>
  <c r="Y10" i="19" s="1"/>
  <c r="Y11" i="19" s="1"/>
  <c r="U21" i="19"/>
  <c r="P21" i="19"/>
  <c r="P10" i="19" s="1"/>
  <c r="P11" i="19" s="1"/>
  <c r="N21" i="19"/>
  <c r="N10" i="19" s="1"/>
  <c r="N11" i="19" s="1"/>
  <c r="L21" i="19"/>
  <c r="L22" i="19" s="1"/>
  <c r="AQ20" i="19"/>
  <c r="AP20" i="19"/>
  <c r="AO20" i="19"/>
  <c r="AO9" i="19" s="1"/>
  <c r="AN20" i="19"/>
  <c r="AN22" i="19" s="1"/>
  <c r="AL20" i="19"/>
  <c r="AL9" i="19" s="1"/>
  <c r="AK20" i="19"/>
  <c r="AH20" i="19"/>
  <c r="AG20" i="19"/>
  <c r="AF20" i="19"/>
  <c r="AE20" i="19"/>
  <c r="AE9" i="19" s="1"/>
  <c r="AD20" i="19"/>
  <c r="AD9" i="19" s="1"/>
  <c r="AC20" i="19"/>
  <c r="AB20" i="19"/>
  <c r="AB9" i="19" s="1"/>
  <c r="X20" i="19"/>
  <c r="V20" i="19"/>
  <c r="T20" i="19"/>
  <c r="T9" i="19" s="1"/>
  <c r="Q20" i="19"/>
  <c r="Q9" i="19" s="1"/>
  <c r="P20" i="19"/>
  <c r="O20" i="19"/>
  <c r="N20" i="19"/>
  <c r="L20" i="19"/>
  <c r="L9" i="19" s="1"/>
  <c r="K20" i="19"/>
  <c r="K9" i="19" s="1"/>
  <c r="B20" i="19"/>
  <c r="H18" i="19"/>
  <c r="D18" i="19" s="1"/>
  <c r="G18" i="19"/>
  <c r="F18" i="19"/>
  <c r="E18" i="19"/>
  <c r="C18" i="19"/>
  <c r="B18" i="19"/>
  <c r="Q17" i="19"/>
  <c r="H17" i="19" s="1"/>
  <c r="P17" i="19"/>
  <c r="G17" i="19" s="1"/>
  <c r="O17" i="19"/>
  <c r="N17" i="19"/>
  <c r="E17" i="19" s="1"/>
  <c r="M17" i="19"/>
  <c r="L17" i="19"/>
  <c r="C17" i="19" s="1"/>
  <c r="K17" i="19"/>
  <c r="F17" i="19"/>
  <c r="B17" i="19"/>
  <c r="AH16" i="19"/>
  <c r="AG16" i="19"/>
  <c r="AF16" i="19"/>
  <c r="AE16" i="19"/>
  <c r="AD16" i="19"/>
  <c r="AC16" i="19"/>
  <c r="AB16" i="19"/>
  <c r="Y16" i="19"/>
  <c r="H16" i="19" s="1"/>
  <c r="X16" i="19"/>
  <c r="W16" i="19"/>
  <c r="V16" i="19"/>
  <c r="U16" i="19"/>
  <c r="T16" i="19"/>
  <c r="S16" i="19"/>
  <c r="Q16" i="19"/>
  <c r="P16" i="19"/>
  <c r="G16" i="19" s="1"/>
  <c r="O16" i="19"/>
  <c r="N16" i="19"/>
  <c r="E16" i="19" s="1"/>
  <c r="M16" i="19"/>
  <c r="L16" i="19"/>
  <c r="C16" i="19" s="1"/>
  <c r="K16" i="19"/>
  <c r="F16" i="19"/>
  <c r="B16" i="19"/>
  <c r="AQ15" i="19"/>
  <c r="AP15" i="19"/>
  <c r="AO15" i="19"/>
  <c r="AN15" i="19"/>
  <c r="AL15" i="19"/>
  <c r="AK15" i="19"/>
  <c r="AH15" i="19"/>
  <c r="AF15" i="19"/>
  <c r="Y15" i="19"/>
  <c r="X15" i="19"/>
  <c r="V15" i="19"/>
  <c r="P15" i="19"/>
  <c r="O15" i="19"/>
  <c r="M15" i="19"/>
  <c r="E15" i="19"/>
  <c r="AH14" i="19"/>
  <c r="AG14" i="19"/>
  <c r="AG15" i="19" s="1"/>
  <c r="AF14" i="19"/>
  <c r="AE14" i="19"/>
  <c r="AE15" i="19" s="1"/>
  <c r="AD14" i="19"/>
  <c r="AD10" i="19" s="1"/>
  <c r="AC14" i="19"/>
  <c r="AC15" i="19" s="1"/>
  <c r="AB14" i="19"/>
  <c r="Y14" i="19"/>
  <c r="X14" i="19"/>
  <c r="G14" i="19" s="1"/>
  <c r="W14" i="19"/>
  <c r="W15" i="19" s="1"/>
  <c r="V14" i="19"/>
  <c r="U14" i="19"/>
  <c r="U15" i="19" s="1"/>
  <c r="T14" i="19"/>
  <c r="S14" i="19"/>
  <c r="S15" i="19" s="1"/>
  <c r="Q14" i="19"/>
  <c r="H14" i="19" s="1"/>
  <c r="P14" i="19"/>
  <c r="O14" i="19"/>
  <c r="F14" i="19" s="1"/>
  <c r="N14" i="19"/>
  <c r="N15" i="19" s="1"/>
  <c r="M14" i="19"/>
  <c r="D14" i="19" s="1"/>
  <c r="L14" i="19"/>
  <c r="L15" i="19" s="1"/>
  <c r="K14" i="19"/>
  <c r="E14" i="19"/>
  <c r="AM13" i="19"/>
  <c r="AM15" i="19" s="1"/>
  <c r="AD13" i="19"/>
  <c r="U13" i="19"/>
  <c r="M13" i="19"/>
  <c r="H13" i="19"/>
  <c r="G13" i="19"/>
  <c r="F13" i="19"/>
  <c r="E13" i="19"/>
  <c r="D13" i="19"/>
  <c r="C13" i="19"/>
  <c r="B13" i="19"/>
  <c r="B9" i="19" s="1"/>
  <c r="AP11" i="19"/>
  <c r="AP10" i="19"/>
  <c r="AO10" i="19"/>
  <c r="AN10" i="19"/>
  <c r="AM10" i="19"/>
  <c r="AE10" i="19"/>
  <c r="AE11" i="19" s="1"/>
  <c r="U10" i="19"/>
  <c r="L10" i="19"/>
  <c r="L11" i="19" s="1"/>
  <c r="AQ9" i="19"/>
  <c r="AP9" i="19"/>
  <c r="AK9" i="19"/>
  <c r="AH9" i="19"/>
  <c r="AG9" i="19"/>
  <c r="AF9" i="19"/>
  <c r="AC9" i="19"/>
  <c r="X9" i="19"/>
  <c r="V9" i="19"/>
  <c r="P9" i="19"/>
  <c r="O9" i="19"/>
  <c r="N9" i="19"/>
  <c r="E21" i="19" l="1"/>
  <c r="E22" i="19" s="1"/>
  <c r="E25" i="19"/>
  <c r="W10" i="19"/>
  <c r="T10" i="19"/>
  <c r="T11" i="19" s="1"/>
  <c r="AD11" i="19"/>
  <c r="D17" i="19"/>
  <c r="AF10" i="19"/>
  <c r="AF11" i="19" s="1"/>
  <c r="AF22" i="19"/>
  <c r="H15" i="19"/>
  <c r="AO11" i="19"/>
  <c r="D16" i="19"/>
  <c r="H9" i="19"/>
  <c r="D15" i="19"/>
  <c r="F25" i="19"/>
  <c r="F21" i="19"/>
  <c r="F10" i="19" s="1"/>
  <c r="B25" i="19"/>
  <c r="U31" i="19"/>
  <c r="D40" i="19"/>
  <c r="M22" i="19"/>
  <c r="M10" i="19"/>
  <c r="M11" i="19" s="1"/>
  <c r="AB10" i="19"/>
  <c r="AB11" i="19" s="1"/>
  <c r="F15" i="19"/>
  <c r="G15" i="19"/>
  <c r="AH10" i="19"/>
  <c r="AH11" i="19" s="1"/>
  <c r="U22" i="19"/>
  <c r="D23" i="19"/>
  <c r="E40" i="19"/>
  <c r="B14" i="19"/>
  <c r="Q21" i="19"/>
  <c r="Q22" i="19" s="1"/>
  <c r="AB21" i="19"/>
  <c r="AB22" i="19" s="1"/>
  <c r="H24" i="19"/>
  <c r="F29" i="19"/>
  <c r="D29" i="19" s="1"/>
  <c r="F30" i="19"/>
  <c r="F31" i="19" s="1"/>
  <c r="F36" i="19"/>
  <c r="F37" i="19" s="1"/>
  <c r="C14" i="19"/>
  <c r="Q15" i="19"/>
  <c r="AB15" i="19"/>
  <c r="S21" i="19"/>
  <c r="AC21" i="19"/>
  <c r="O25" i="19"/>
  <c r="X25" i="19"/>
  <c r="AH25" i="19"/>
  <c r="G27" i="19"/>
  <c r="G28" i="19" s="1"/>
  <c r="G30" i="19"/>
  <c r="G31" i="19" s="1"/>
  <c r="D33" i="19"/>
  <c r="D34" i="19" s="1"/>
  <c r="G36" i="19"/>
  <c r="G37" i="19" s="1"/>
  <c r="C39" i="19"/>
  <c r="C40" i="19" s="1"/>
  <c r="Q40" i="19"/>
  <c r="F27" i="19"/>
  <c r="F28" i="19" s="1"/>
  <c r="B39" i="19"/>
  <c r="B40" i="19" s="1"/>
  <c r="AM9" i="19"/>
  <c r="AM11" i="19" s="1"/>
  <c r="X10" i="19"/>
  <c r="X11" i="19" s="1"/>
  <c r="W20" i="19"/>
  <c r="W9" i="19" s="1"/>
  <c r="K21" i="19"/>
  <c r="K22" i="19" s="1"/>
  <c r="P22" i="19"/>
  <c r="Y22" i="19"/>
  <c r="AK22" i="19"/>
  <c r="H27" i="19"/>
  <c r="H28" i="19" s="1"/>
  <c r="H30" i="19"/>
  <c r="H31" i="19" s="1"/>
  <c r="H36" i="19"/>
  <c r="H37" i="19" s="1"/>
  <c r="AN9" i="19"/>
  <c r="AN11" i="19" s="1"/>
  <c r="K15" i="19"/>
  <c r="T15" i="19"/>
  <c r="AD15" i="19"/>
  <c r="E20" i="19"/>
  <c r="E9" i="19" s="1"/>
  <c r="AL22" i="19"/>
  <c r="U23" i="19"/>
  <c r="U20" i="19" s="1"/>
  <c r="U9" i="19" s="1"/>
  <c r="U11" i="19" s="1"/>
  <c r="Q10" i="19"/>
  <c r="Q11" i="19" s="1"/>
  <c r="V21" i="19"/>
  <c r="AM25" i="19"/>
  <c r="E28" i="19"/>
  <c r="W31" i="19"/>
  <c r="E37" i="19"/>
  <c r="E31" i="19"/>
  <c r="O21" i="19"/>
  <c r="O22" i="19" s="1"/>
  <c r="F11" i="19" l="1"/>
  <c r="B15" i="19"/>
  <c r="K10" i="19"/>
  <c r="K11" i="19" s="1"/>
  <c r="S10" i="19"/>
  <c r="S11" i="19" s="1"/>
  <c r="S22" i="19"/>
  <c r="C21" i="19"/>
  <c r="C22" i="19" s="1"/>
  <c r="O10" i="19"/>
  <c r="O11" i="19" s="1"/>
  <c r="C15" i="19"/>
  <c r="U25" i="19"/>
  <c r="E10" i="19"/>
  <c r="E11" i="19" s="1"/>
  <c r="W11" i="19"/>
  <c r="G21" i="19"/>
  <c r="D20" i="19"/>
  <c r="D9" i="19" s="1"/>
  <c r="B21" i="19"/>
  <c r="B22" i="19" s="1"/>
  <c r="W22" i="19"/>
  <c r="H25" i="19"/>
  <c r="H21" i="19"/>
  <c r="D24" i="19"/>
  <c r="F20" i="19"/>
  <c r="F9" i="19" s="1"/>
  <c r="D27" i="19"/>
  <c r="D28" i="19" s="1"/>
  <c r="D30" i="19"/>
  <c r="D31" i="19" s="1"/>
  <c r="V10" i="19"/>
  <c r="V11" i="19" s="1"/>
  <c r="V22" i="19"/>
  <c r="AC10" i="19"/>
  <c r="AC11" i="19" s="1"/>
  <c r="AC22" i="19"/>
  <c r="D36" i="19"/>
  <c r="D37" i="19" s="1"/>
  <c r="G22" i="19" l="1"/>
  <c r="G10" i="19"/>
  <c r="G11" i="19" s="1"/>
  <c r="F22" i="19"/>
  <c r="D21" i="19"/>
  <c r="D25" i="19"/>
  <c r="H22" i="19"/>
  <c r="H10" i="19"/>
  <c r="H11" i="19" s="1"/>
  <c r="B10" i="19"/>
  <c r="B11" i="19" s="1"/>
  <c r="C10" i="19"/>
  <c r="C11" i="19" s="1"/>
  <c r="D22" i="19" l="1"/>
  <c r="D10" i="19"/>
  <c r="D11" i="19" s="1"/>
  <c r="AL40" i="12" l="1"/>
  <c r="AK40" i="12"/>
  <c r="AB40" i="12"/>
  <c r="Y40" i="12"/>
  <c r="X40" i="12"/>
  <c r="Q40" i="12"/>
  <c r="P40" i="12"/>
  <c r="AQ39" i="12"/>
  <c r="AQ40" i="12" s="1"/>
  <c r="AP39" i="12"/>
  <c r="AP40" i="12" s="1"/>
  <c r="AO39" i="12"/>
  <c r="AN39" i="12"/>
  <c r="AN40" i="12" s="1"/>
  <c r="AM39" i="12"/>
  <c r="AM40" i="12" s="1"/>
  <c r="AL39" i="12"/>
  <c r="AK39" i="12"/>
  <c r="AH39" i="12"/>
  <c r="AG39" i="12"/>
  <c r="AG40" i="12" s="1"/>
  <c r="AF39" i="12"/>
  <c r="AF40" i="12" s="1"/>
  <c r="AE39" i="12"/>
  <c r="AE40" i="12" s="1"/>
  <c r="AD39" i="12"/>
  <c r="AD40" i="12" s="1"/>
  <c r="AC39" i="12"/>
  <c r="AC40" i="12" s="1"/>
  <c r="AB39" i="12"/>
  <c r="Y39" i="12"/>
  <c r="X39" i="12"/>
  <c r="W39" i="12"/>
  <c r="W40" i="12" s="1"/>
  <c r="V39" i="12"/>
  <c r="V40" i="12" s="1"/>
  <c r="U39" i="12"/>
  <c r="U40" i="12" s="1"/>
  <c r="T39" i="12"/>
  <c r="T40" i="12" s="1"/>
  <c r="S39" i="12"/>
  <c r="S40" i="12" s="1"/>
  <c r="Q39" i="12"/>
  <c r="P39" i="12"/>
  <c r="G39" i="12" s="1"/>
  <c r="O39" i="12"/>
  <c r="N39" i="12"/>
  <c r="N40" i="12" s="1"/>
  <c r="M39" i="12"/>
  <c r="M40" i="12" s="1"/>
  <c r="L39" i="12"/>
  <c r="K39" i="12"/>
  <c r="H39" i="12"/>
  <c r="AQ38" i="12"/>
  <c r="AP38" i="12"/>
  <c r="AO38" i="12"/>
  <c r="AN38" i="12"/>
  <c r="AM38" i="12"/>
  <c r="AL38" i="12"/>
  <c r="AK38" i="12"/>
  <c r="AH38" i="12"/>
  <c r="AH40" i="12" s="1"/>
  <c r="AG38" i="12"/>
  <c r="AF38" i="12"/>
  <c r="AE38" i="12"/>
  <c r="AD38" i="12"/>
  <c r="AC38" i="12"/>
  <c r="AB38" i="12"/>
  <c r="Y38" i="12"/>
  <c r="X38" i="12"/>
  <c r="W38" i="12"/>
  <c r="V38" i="12"/>
  <c r="U38" i="12"/>
  <c r="T38" i="12"/>
  <c r="S38" i="12"/>
  <c r="Q38" i="12"/>
  <c r="H38" i="12" s="1"/>
  <c r="P38" i="12"/>
  <c r="O38" i="12"/>
  <c r="O40" i="12" s="1"/>
  <c r="N38" i="12"/>
  <c r="M38" i="12"/>
  <c r="L38" i="12"/>
  <c r="K38" i="12"/>
  <c r="B38" i="12" s="1"/>
  <c r="F38" i="12"/>
  <c r="E38" i="12"/>
  <c r="C38" i="12"/>
  <c r="AM37" i="12"/>
  <c r="AC37" i="12"/>
  <c r="S37" i="12"/>
  <c r="AQ36" i="12"/>
  <c r="AP36" i="12"/>
  <c r="AP37" i="12" s="1"/>
  <c r="AO36" i="12"/>
  <c r="AO37" i="12" s="1"/>
  <c r="AN36" i="12"/>
  <c r="AN37" i="12" s="1"/>
  <c r="AM36" i="12"/>
  <c r="AL36" i="12"/>
  <c r="AK36" i="12"/>
  <c r="AH36" i="12"/>
  <c r="AG36" i="12"/>
  <c r="AF36" i="12"/>
  <c r="AF37" i="12" s="1"/>
  <c r="AE36" i="12"/>
  <c r="AE37" i="12" s="1"/>
  <c r="AD36" i="12"/>
  <c r="AD37" i="12" s="1"/>
  <c r="AC36" i="12"/>
  <c r="AB36" i="12"/>
  <c r="Y36" i="12"/>
  <c r="X36" i="12"/>
  <c r="W36" i="12"/>
  <c r="V36" i="12"/>
  <c r="V37" i="12" s="1"/>
  <c r="U36" i="12"/>
  <c r="U37" i="12" s="1"/>
  <c r="T36" i="12"/>
  <c r="T37" i="12" s="1"/>
  <c r="S36" i="12"/>
  <c r="Q36" i="12"/>
  <c r="H36" i="12" s="1"/>
  <c r="P36" i="12"/>
  <c r="O36" i="12"/>
  <c r="N36" i="12"/>
  <c r="M36" i="12"/>
  <c r="M37" i="12" s="1"/>
  <c r="L36" i="12"/>
  <c r="L37" i="12" s="1"/>
  <c r="K36" i="12"/>
  <c r="B36" i="12" s="1"/>
  <c r="AQ35" i="12"/>
  <c r="AP35" i="12"/>
  <c r="AO35" i="12"/>
  <c r="AN35" i="12"/>
  <c r="AM35" i="12"/>
  <c r="AL35" i="12"/>
  <c r="AL37" i="12" s="1"/>
  <c r="AK35" i="12"/>
  <c r="B35" i="12" s="1"/>
  <c r="AH35" i="12"/>
  <c r="AG35" i="12"/>
  <c r="AF35" i="12"/>
  <c r="AE35" i="12"/>
  <c r="AD35" i="12"/>
  <c r="AC35" i="12"/>
  <c r="AB35" i="12"/>
  <c r="AB37" i="12" s="1"/>
  <c r="Y35" i="12"/>
  <c r="Y37" i="12" s="1"/>
  <c r="X35" i="12"/>
  <c r="W35" i="12"/>
  <c r="V35" i="12"/>
  <c r="U35" i="12"/>
  <c r="T35" i="12"/>
  <c r="S35" i="12"/>
  <c r="Q35" i="12"/>
  <c r="P35" i="12"/>
  <c r="P37" i="12" s="1"/>
  <c r="O35" i="12"/>
  <c r="N35" i="12"/>
  <c r="M35" i="12"/>
  <c r="L35" i="12"/>
  <c r="K35" i="12"/>
  <c r="F35" i="12"/>
  <c r="E35" i="12"/>
  <c r="AH34" i="12"/>
  <c r="AD34" i="12"/>
  <c r="T34" i="12"/>
  <c r="S34" i="12"/>
  <c r="Q34" i="12"/>
  <c r="L34" i="12"/>
  <c r="AQ33" i="12"/>
  <c r="AQ34" i="12" s="1"/>
  <c r="AP33" i="12"/>
  <c r="AP34" i="12" s="1"/>
  <c r="AO33" i="12"/>
  <c r="AN33" i="12"/>
  <c r="AM33" i="12"/>
  <c r="AL33" i="12"/>
  <c r="AK33" i="12"/>
  <c r="AH33" i="12"/>
  <c r="AG33" i="12"/>
  <c r="AG34" i="12" s="1"/>
  <c r="AF33" i="12"/>
  <c r="AF34" i="12" s="1"/>
  <c r="AE33" i="12"/>
  <c r="AE21" i="12" s="1"/>
  <c r="AD33" i="12"/>
  <c r="AC33" i="12"/>
  <c r="AB33" i="12"/>
  <c r="Y33" i="12"/>
  <c r="X33" i="12"/>
  <c r="W33" i="12"/>
  <c r="W34" i="12" s="1"/>
  <c r="V33" i="12"/>
  <c r="V34" i="12" s="1"/>
  <c r="U33" i="12"/>
  <c r="U34" i="12" s="1"/>
  <c r="T33" i="12"/>
  <c r="S33" i="12"/>
  <c r="Q33" i="12"/>
  <c r="P33" i="12"/>
  <c r="O33" i="12"/>
  <c r="N33" i="12"/>
  <c r="M33" i="12"/>
  <c r="M34" i="12" s="1"/>
  <c r="L33" i="12"/>
  <c r="L21" i="12" s="1"/>
  <c r="K33" i="12"/>
  <c r="B33" i="12"/>
  <c r="AQ32" i="12"/>
  <c r="AP32" i="12"/>
  <c r="AO32" i="12"/>
  <c r="AN32" i="12"/>
  <c r="AN34" i="12" s="1"/>
  <c r="AM32" i="12"/>
  <c r="AM34" i="12" s="1"/>
  <c r="AL32" i="12"/>
  <c r="AL34" i="12" s="1"/>
  <c r="AK32" i="12"/>
  <c r="AH32" i="12"/>
  <c r="AH20" i="12" s="1"/>
  <c r="AG32" i="12"/>
  <c r="AF32" i="12"/>
  <c r="AE32" i="12"/>
  <c r="AD32" i="12"/>
  <c r="AC32" i="12"/>
  <c r="AC34" i="12" s="1"/>
  <c r="AB32" i="12"/>
  <c r="AB34" i="12" s="1"/>
  <c r="Y32" i="12"/>
  <c r="X32" i="12"/>
  <c r="W32" i="12"/>
  <c r="V32" i="12"/>
  <c r="U32" i="12"/>
  <c r="T32" i="12"/>
  <c r="S32" i="12"/>
  <c r="Q32" i="12"/>
  <c r="H32" i="12" s="1"/>
  <c r="P32" i="12"/>
  <c r="O32" i="12"/>
  <c r="N32" i="12"/>
  <c r="M32" i="12"/>
  <c r="L32" i="12"/>
  <c r="K32" i="12"/>
  <c r="F32" i="12"/>
  <c r="E32" i="12"/>
  <c r="C32" i="12"/>
  <c r="AM31" i="12"/>
  <c r="AK31" i="12"/>
  <c r="AG31" i="12"/>
  <c r="AF31" i="12"/>
  <c r="Y31" i="12"/>
  <c r="V31" i="12"/>
  <c r="AQ30" i="12"/>
  <c r="AQ31" i="12" s="1"/>
  <c r="AP30" i="12"/>
  <c r="AP31" i="12" s="1"/>
  <c r="AO30" i="12"/>
  <c r="AN30" i="12"/>
  <c r="AM30" i="12"/>
  <c r="AL30" i="12"/>
  <c r="AL31" i="12" s="1"/>
  <c r="AK30" i="12"/>
  <c r="AH30" i="12"/>
  <c r="AH31" i="12" s="1"/>
  <c r="AG30" i="12"/>
  <c r="AG21" i="12" s="1"/>
  <c r="AG10" i="12" s="1"/>
  <c r="AF30" i="12"/>
  <c r="AE30" i="12"/>
  <c r="AD30" i="12"/>
  <c r="AC30" i="12"/>
  <c r="AB30" i="12"/>
  <c r="AB31" i="12" s="1"/>
  <c r="Y30" i="12"/>
  <c r="X30" i="12"/>
  <c r="X31" i="12" s="1"/>
  <c r="W30" i="12"/>
  <c r="V30" i="12"/>
  <c r="U30" i="12"/>
  <c r="T30" i="12"/>
  <c r="T31" i="12" s="1"/>
  <c r="S30" i="12"/>
  <c r="Q30" i="12"/>
  <c r="P30" i="12"/>
  <c r="P31" i="12" s="1"/>
  <c r="O30" i="12"/>
  <c r="O31" i="12" s="1"/>
  <c r="N30" i="12"/>
  <c r="E30" i="12" s="1"/>
  <c r="M30" i="12"/>
  <c r="M31" i="12" s="1"/>
  <c r="L30" i="12"/>
  <c r="K30" i="12"/>
  <c r="B30" i="12" s="1"/>
  <c r="G30" i="12"/>
  <c r="AQ29" i="12"/>
  <c r="AP29" i="12"/>
  <c r="AO29" i="12"/>
  <c r="AO31" i="12" s="1"/>
  <c r="AN29" i="12"/>
  <c r="AN20" i="12" s="1"/>
  <c r="AM20" i="12" s="1"/>
  <c r="AM29" i="12"/>
  <c r="AL29" i="12"/>
  <c r="AK29" i="12"/>
  <c r="AH29" i="12"/>
  <c r="AG29" i="12"/>
  <c r="AF29" i="12"/>
  <c r="AE29" i="12"/>
  <c r="AE31" i="12" s="1"/>
  <c r="AD29" i="12"/>
  <c r="AC29" i="12"/>
  <c r="AC31" i="12" s="1"/>
  <c r="AB29" i="12"/>
  <c r="Y29" i="12"/>
  <c r="H29" i="12" s="1"/>
  <c r="X29" i="12"/>
  <c r="W29" i="12"/>
  <c r="V29" i="12"/>
  <c r="U29" i="12"/>
  <c r="U31" i="12" s="1"/>
  <c r="T29" i="12"/>
  <c r="S29" i="12"/>
  <c r="S31" i="12" s="1"/>
  <c r="Q29" i="12"/>
  <c r="P29" i="12"/>
  <c r="G29" i="12" s="1"/>
  <c r="O29" i="12"/>
  <c r="N29" i="12"/>
  <c r="M29" i="12"/>
  <c r="L29" i="12"/>
  <c r="K29" i="12"/>
  <c r="B29" i="12" s="1"/>
  <c r="AQ28" i="12"/>
  <c r="AP28" i="12"/>
  <c r="AG28" i="12"/>
  <c r="AF28" i="12"/>
  <c r="AE28" i="12"/>
  <c r="AD28" i="12"/>
  <c r="T28" i="12"/>
  <c r="N28" i="12"/>
  <c r="AQ27" i="12"/>
  <c r="AP27" i="12"/>
  <c r="AO27" i="12"/>
  <c r="AN27" i="12"/>
  <c r="AM27" i="12"/>
  <c r="AL27" i="12"/>
  <c r="AK27" i="12"/>
  <c r="AK28" i="12" s="1"/>
  <c r="AH27" i="12"/>
  <c r="AH28" i="12" s="1"/>
  <c r="AG27" i="12"/>
  <c r="AF27" i="12"/>
  <c r="AE27" i="12"/>
  <c r="AD27" i="12"/>
  <c r="AC27" i="12"/>
  <c r="AB27" i="12"/>
  <c r="AB28" i="12" s="1"/>
  <c r="Y27" i="12"/>
  <c r="Y28" i="12" s="1"/>
  <c r="X27" i="12"/>
  <c r="X28" i="12" s="1"/>
  <c r="W27" i="12"/>
  <c r="W28" i="12" s="1"/>
  <c r="V27" i="12"/>
  <c r="U27" i="12"/>
  <c r="T27" i="12"/>
  <c r="S27" i="12"/>
  <c r="Q27" i="12"/>
  <c r="Q28" i="12" s="1"/>
  <c r="P27" i="12"/>
  <c r="P28" i="12" s="1"/>
  <c r="O27" i="12"/>
  <c r="O28" i="12" s="1"/>
  <c r="N27" i="12"/>
  <c r="M27" i="12"/>
  <c r="L27" i="12"/>
  <c r="K27" i="12"/>
  <c r="F27" i="12"/>
  <c r="E27" i="12"/>
  <c r="E28" i="12" s="1"/>
  <c r="AQ26" i="12"/>
  <c r="AP26" i="12"/>
  <c r="AO26" i="12"/>
  <c r="AO28" i="12" s="1"/>
  <c r="AN26" i="12"/>
  <c r="AN28" i="12" s="1"/>
  <c r="AM26" i="12"/>
  <c r="AL26" i="12"/>
  <c r="AL20" i="12" s="1"/>
  <c r="AL9" i="12" s="1"/>
  <c r="AK26" i="12"/>
  <c r="AH26" i="12"/>
  <c r="AG26" i="12"/>
  <c r="AF26" i="12"/>
  <c r="AE26" i="12"/>
  <c r="AD26" i="12"/>
  <c r="AC26" i="12"/>
  <c r="AB26" i="12"/>
  <c r="AB20" i="12" s="1"/>
  <c r="AB9" i="12" s="1"/>
  <c r="Y26" i="12"/>
  <c r="X26" i="12"/>
  <c r="W26" i="12"/>
  <c r="V26" i="12"/>
  <c r="E26" i="12" s="1"/>
  <c r="U26" i="12"/>
  <c r="U28" i="12" s="1"/>
  <c r="T26" i="12"/>
  <c r="S26" i="12"/>
  <c r="Q26" i="12"/>
  <c r="H26" i="12" s="1"/>
  <c r="P26" i="12"/>
  <c r="O26" i="12"/>
  <c r="N26" i="12"/>
  <c r="M26" i="12"/>
  <c r="M28" i="12" s="1"/>
  <c r="L26" i="12"/>
  <c r="K26" i="12"/>
  <c r="G26" i="12"/>
  <c r="AO25" i="12"/>
  <c r="AM25" i="12"/>
  <c r="AK25" i="12"/>
  <c r="AE25" i="12"/>
  <c r="AC25" i="12"/>
  <c r="Y25" i="12"/>
  <c r="X25" i="12"/>
  <c r="W25" i="12"/>
  <c r="O25" i="12"/>
  <c r="N25" i="12"/>
  <c r="L25" i="12"/>
  <c r="AQ24" i="12"/>
  <c r="AP24" i="12"/>
  <c r="AP21" i="12" s="1"/>
  <c r="AP22" i="12" s="1"/>
  <c r="AO24" i="12"/>
  <c r="AN24" i="12"/>
  <c r="AM24" i="12"/>
  <c r="AL24" i="12"/>
  <c r="AL25" i="12" s="1"/>
  <c r="AK24" i="12"/>
  <c r="AH24" i="12"/>
  <c r="AG24" i="12"/>
  <c r="AF24" i="12"/>
  <c r="AE24" i="12"/>
  <c r="AD24" i="12"/>
  <c r="AC24" i="12"/>
  <c r="AB24" i="12"/>
  <c r="AB25" i="12" s="1"/>
  <c r="Y24" i="12"/>
  <c r="X24" i="12"/>
  <c r="W24" i="12"/>
  <c r="V24" i="12"/>
  <c r="E24" i="12" s="1"/>
  <c r="U24" i="12"/>
  <c r="T24" i="12"/>
  <c r="S24" i="12"/>
  <c r="Q24" i="12"/>
  <c r="Q25" i="12" s="1"/>
  <c r="P24" i="12"/>
  <c r="O24" i="12"/>
  <c r="N24" i="12"/>
  <c r="M24" i="12"/>
  <c r="M25" i="12" s="1"/>
  <c r="L24" i="12"/>
  <c r="K24" i="12"/>
  <c r="C24" i="12"/>
  <c r="AQ23" i="12"/>
  <c r="AQ25" i="12" s="1"/>
  <c r="AP23" i="12"/>
  <c r="AO23" i="12"/>
  <c r="AN23" i="12"/>
  <c r="AM23" i="12"/>
  <c r="AL23" i="12"/>
  <c r="AK23" i="12"/>
  <c r="AH23" i="12"/>
  <c r="AG23" i="12"/>
  <c r="AF23" i="12"/>
  <c r="AE23" i="12"/>
  <c r="AD23" i="12"/>
  <c r="AC23" i="12"/>
  <c r="AB23" i="12"/>
  <c r="Y23" i="12"/>
  <c r="X23" i="12"/>
  <c r="W23" i="12"/>
  <c r="W20" i="12" s="1"/>
  <c r="V23" i="12"/>
  <c r="U23" i="12"/>
  <c r="U25" i="12" s="1"/>
  <c r="T23" i="12"/>
  <c r="S23" i="12"/>
  <c r="Q23" i="12"/>
  <c r="P23" i="12"/>
  <c r="O23" i="12"/>
  <c r="N23" i="12"/>
  <c r="E23" i="12" s="1"/>
  <c r="M23" i="12"/>
  <c r="L23" i="12"/>
  <c r="K23" i="12"/>
  <c r="F23" i="12"/>
  <c r="C23" i="12"/>
  <c r="B23" i="12"/>
  <c r="W21" i="12"/>
  <c r="W10" i="12" s="1"/>
  <c r="W11" i="12" s="1"/>
  <c r="AQ20" i="12"/>
  <c r="AP20" i="12"/>
  <c r="AO20" i="12"/>
  <c r="AO9" i="12" s="1"/>
  <c r="AF20" i="12"/>
  <c r="X20" i="12"/>
  <c r="Q20" i="12"/>
  <c r="O20" i="12"/>
  <c r="N20" i="12"/>
  <c r="AQ18" i="12"/>
  <c r="AP18" i="12"/>
  <c r="AO18" i="12"/>
  <c r="AN18" i="12"/>
  <c r="AM18" i="12"/>
  <c r="AL18" i="12"/>
  <c r="AK18" i="12"/>
  <c r="AH18" i="12"/>
  <c r="AG18" i="12"/>
  <c r="AF18" i="12"/>
  <c r="AE18" i="12"/>
  <c r="AD18" i="12"/>
  <c r="AC18" i="12"/>
  <c r="AB18" i="12"/>
  <c r="Y18" i="12"/>
  <c r="X18" i="12"/>
  <c r="W18" i="12"/>
  <c r="F18" i="12" s="1"/>
  <c r="V18" i="12"/>
  <c r="U18" i="12"/>
  <c r="T18" i="12"/>
  <c r="S18" i="12"/>
  <c r="B18" i="12" s="1"/>
  <c r="Q18" i="12"/>
  <c r="P18" i="12"/>
  <c r="O18" i="12"/>
  <c r="N18" i="12"/>
  <c r="E18" i="12" s="1"/>
  <c r="M18" i="12"/>
  <c r="L18" i="12"/>
  <c r="K18" i="12"/>
  <c r="G18" i="12"/>
  <c r="AQ17" i="12"/>
  <c r="AP17" i="12"/>
  <c r="AO17" i="12"/>
  <c r="AN17" i="12"/>
  <c r="E17" i="12" s="1"/>
  <c r="AM17" i="12"/>
  <c r="AL17" i="12"/>
  <c r="AK17" i="12"/>
  <c r="AH17" i="12"/>
  <c r="AG17" i="12"/>
  <c r="AF17" i="12"/>
  <c r="AE17" i="12"/>
  <c r="AD17" i="12"/>
  <c r="AC17" i="12"/>
  <c r="AB17" i="12"/>
  <c r="Y17" i="12"/>
  <c r="X17" i="12"/>
  <c r="W17" i="12"/>
  <c r="V17" i="12"/>
  <c r="U17" i="12"/>
  <c r="T17" i="12"/>
  <c r="S17" i="12"/>
  <c r="Q17" i="12"/>
  <c r="P17" i="12"/>
  <c r="O17" i="12"/>
  <c r="N17" i="12"/>
  <c r="M17" i="12"/>
  <c r="L17" i="12"/>
  <c r="C17" i="12" s="1"/>
  <c r="K17" i="12"/>
  <c r="B17" i="12" s="1"/>
  <c r="H17" i="12"/>
  <c r="G17" i="12"/>
  <c r="AQ16" i="12"/>
  <c r="AP16" i="12"/>
  <c r="AO16" i="12"/>
  <c r="F16" i="12" s="1"/>
  <c r="AN16" i="12"/>
  <c r="AM16" i="12"/>
  <c r="AL16" i="12"/>
  <c r="AK16" i="12"/>
  <c r="AH16" i="12"/>
  <c r="AG16" i="12"/>
  <c r="AF16" i="12"/>
  <c r="AE16" i="12"/>
  <c r="AD16" i="12"/>
  <c r="AC16" i="12"/>
  <c r="AB16" i="12"/>
  <c r="Y16" i="12"/>
  <c r="X16" i="12"/>
  <c r="W16" i="12"/>
  <c r="V16" i="12"/>
  <c r="U16" i="12"/>
  <c r="T16" i="12"/>
  <c r="S16" i="12"/>
  <c r="B16" i="12" s="1"/>
  <c r="Q16" i="12"/>
  <c r="P16" i="12"/>
  <c r="O16" i="12"/>
  <c r="N16" i="12"/>
  <c r="E16" i="12" s="1"/>
  <c r="M16" i="12"/>
  <c r="L16" i="12"/>
  <c r="C16" i="12" s="1"/>
  <c r="K16" i="12"/>
  <c r="H16" i="12"/>
  <c r="AN15" i="12"/>
  <c r="AM15" i="12"/>
  <c r="AL15" i="12"/>
  <c r="AD15" i="12"/>
  <c r="AC15" i="12"/>
  <c r="AB15" i="12"/>
  <c r="Y15" i="12"/>
  <c r="S15" i="12"/>
  <c r="K15" i="12"/>
  <c r="C15" i="12"/>
  <c r="AQ14" i="12"/>
  <c r="AP14" i="12"/>
  <c r="AO14" i="12"/>
  <c r="AN14" i="12"/>
  <c r="AM14" i="12"/>
  <c r="AL14" i="12"/>
  <c r="AK14" i="12"/>
  <c r="AH14" i="12"/>
  <c r="AG14" i="12"/>
  <c r="AF14" i="12"/>
  <c r="AE14" i="12"/>
  <c r="AD14" i="12"/>
  <c r="AC14" i="12"/>
  <c r="AB14" i="12"/>
  <c r="Y14" i="12"/>
  <c r="X14" i="12"/>
  <c r="W14" i="12"/>
  <c r="V14" i="12"/>
  <c r="U14" i="12"/>
  <c r="U15" i="12" s="1"/>
  <c r="T14" i="12"/>
  <c r="T15" i="12" s="1"/>
  <c r="S14" i="12"/>
  <c r="Q14" i="12"/>
  <c r="P14" i="12"/>
  <c r="O14" i="12"/>
  <c r="N14" i="12"/>
  <c r="M14" i="12" s="1"/>
  <c r="M15" i="12" s="1"/>
  <c r="L14" i="12"/>
  <c r="L15" i="12" s="1"/>
  <c r="K14" i="12"/>
  <c r="C14" i="12"/>
  <c r="B14" i="12"/>
  <c r="AQ13" i="12"/>
  <c r="AQ9" i="12" s="1"/>
  <c r="AP13" i="12"/>
  <c r="AP9" i="12" s="1"/>
  <c r="AO13" i="12"/>
  <c r="AN13" i="12"/>
  <c r="AM13" i="12"/>
  <c r="AL13" i="12"/>
  <c r="AK13" i="12"/>
  <c r="AH13" i="12"/>
  <c r="AG13" i="12"/>
  <c r="AF13" i="12"/>
  <c r="AF9" i="12" s="1"/>
  <c r="AE13" i="12"/>
  <c r="AD13" i="12"/>
  <c r="AC13" i="12"/>
  <c r="AB13" i="12"/>
  <c r="Y13" i="12"/>
  <c r="X13" i="12"/>
  <c r="X15" i="12" s="1"/>
  <c r="W13" i="12"/>
  <c r="W9" i="12" s="1"/>
  <c r="V13" i="12"/>
  <c r="U13" i="12"/>
  <c r="T13" i="12"/>
  <c r="S13" i="12"/>
  <c r="Q13" i="12"/>
  <c r="P13" i="12"/>
  <c r="O13" i="12"/>
  <c r="N13" i="12"/>
  <c r="E13" i="12" s="1"/>
  <c r="M13" i="12"/>
  <c r="L13" i="12"/>
  <c r="K13" i="12"/>
  <c r="C13" i="12"/>
  <c r="X9" i="12"/>
  <c r="Q9" i="12"/>
  <c r="AL40" i="14"/>
  <c r="AK40" i="14"/>
  <c r="AH40" i="14"/>
  <c r="AB40" i="14"/>
  <c r="Y40" i="14"/>
  <c r="X40" i="14"/>
  <c r="Q40" i="14"/>
  <c r="P40" i="14"/>
  <c r="O40" i="14"/>
  <c r="AQ39" i="14"/>
  <c r="AQ40" i="14" s="1"/>
  <c r="AP39" i="14"/>
  <c r="AP40" i="14" s="1"/>
  <c r="AO39" i="14"/>
  <c r="AO40" i="14" s="1"/>
  <c r="AN39" i="14"/>
  <c r="E39" i="14" s="1"/>
  <c r="AM39" i="14"/>
  <c r="AM40" i="14" s="1"/>
  <c r="AL39" i="14"/>
  <c r="AK39" i="14"/>
  <c r="AH39" i="14"/>
  <c r="AG39" i="14"/>
  <c r="AG40" i="14" s="1"/>
  <c r="AF39" i="14"/>
  <c r="AF40" i="14" s="1"/>
  <c r="AE39" i="14"/>
  <c r="AE40" i="14" s="1"/>
  <c r="AC39" i="14"/>
  <c r="AC40" i="14" s="1"/>
  <c r="AB39" i="14"/>
  <c r="Y39" i="14"/>
  <c r="X39" i="14"/>
  <c r="W39" i="14"/>
  <c r="W40" i="14" s="1"/>
  <c r="V39" i="14"/>
  <c r="V40" i="14" s="1"/>
  <c r="U39" i="14"/>
  <c r="U40" i="14" s="1"/>
  <c r="T39" i="14"/>
  <c r="T40" i="14" s="1"/>
  <c r="S39" i="14"/>
  <c r="B39" i="14" s="1"/>
  <c r="B40" i="14" s="1"/>
  <c r="Q39" i="14"/>
  <c r="P39" i="14"/>
  <c r="G39" i="14" s="1"/>
  <c r="G40" i="14" s="1"/>
  <c r="O39" i="14"/>
  <c r="F39" i="14" s="1"/>
  <c r="F40" i="14" s="1"/>
  <c r="N39" i="14"/>
  <c r="N40" i="14" s="1"/>
  <c r="L39" i="14"/>
  <c r="L40" i="14" s="1"/>
  <c r="K39" i="14"/>
  <c r="K40" i="14" s="1"/>
  <c r="H39" i="14"/>
  <c r="H40" i="14" s="1"/>
  <c r="AM38" i="14"/>
  <c r="AD38" i="14"/>
  <c r="AD20" i="14" s="1"/>
  <c r="U38" i="14"/>
  <c r="M38" i="14"/>
  <c r="H38" i="14"/>
  <c r="G38" i="14"/>
  <c r="F38" i="14"/>
  <c r="E38" i="14"/>
  <c r="D38" i="14" s="1"/>
  <c r="C38" i="14"/>
  <c r="B38" i="14"/>
  <c r="AP37" i="14"/>
  <c r="Y37" i="14"/>
  <c r="W37" i="14"/>
  <c r="S37" i="14"/>
  <c r="N37" i="14"/>
  <c r="L37" i="14"/>
  <c r="AQ36" i="14"/>
  <c r="AQ37" i="14" s="1"/>
  <c r="AP36" i="14"/>
  <c r="AO36" i="14"/>
  <c r="AO37" i="14" s="1"/>
  <c r="AN36" i="14"/>
  <c r="AN37" i="14" s="1"/>
  <c r="AL36" i="14"/>
  <c r="AL37" i="14" s="1"/>
  <c r="AK36" i="14"/>
  <c r="B36" i="14" s="1"/>
  <c r="B37" i="14" s="1"/>
  <c r="AH36" i="14"/>
  <c r="AH37" i="14" s="1"/>
  <c r="AG36" i="14"/>
  <c r="AG37" i="14" s="1"/>
  <c r="AF36" i="14"/>
  <c r="AF37" i="14" s="1"/>
  <c r="AE36" i="14"/>
  <c r="AE37" i="14" s="1"/>
  <c r="AC36" i="14"/>
  <c r="AC37" i="14" s="1"/>
  <c r="AB36" i="14"/>
  <c r="AB37" i="14" s="1"/>
  <c r="Y36" i="14"/>
  <c r="X36" i="14"/>
  <c r="U36" i="14" s="1"/>
  <c r="W36" i="14"/>
  <c r="V36" i="14"/>
  <c r="V37" i="14" s="1"/>
  <c r="T36" i="14"/>
  <c r="T37" i="14" s="1"/>
  <c r="S36" i="14"/>
  <c r="Q36" i="14"/>
  <c r="Q37" i="14" s="1"/>
  <c r="P36" i="14"/>
  <c r="P37" i="14" s="1"/>
  <c r="O36" i="14"/>
  <c r="M36" i="14" s="1"/>
  <c r="N36" i="14"/>
  <c r="L36" i="14"/>
  <c r="C36" i="14" s="1"/>
  <c r="C37" i="14" s="1"/>
  <c r="K36" i="14"/>
  <c r="K37" i="14" s="1"/>
  <c r="E36" i="14"/>
  <c r="AM35" i="14"/>
  <c r="AD35" i="14"/>
  <c r="U35" i="14"/>
  <c r="M35" i="14"/>
  <c r="H35" i="14"/>
  <c r="G35" i="14"/>
  <c r="F35" i="14"/>
  <c r="E35" i="14"/>
  <c r="D35" i="14" s="1"/>
  <c r="C35" i="14"/>
  <c r="B35" i="14"/>
  <c r="AP34" i="14"/>
  <c r="Y34" i="14"/>
  <c r="V34" i="14"/>
  <c r="T34" i="14"/>
  <c r="S34" i="14"/>
  <c r="O34" i="14"/>
  <c r="K34" i="14"/>
  <c r="AQ33" i="14"/>
  <c r="AQ34" i="14" s="1"/>
  <c r="AP33" i="14"/>
  <c r="G33" i="14" s="1"/>
  <c r="G34" i="14" s="1"/>
  <c r="AO33" i="14"/>
  <c r="AO34" i="14" s="1"/>
  <c r="AN33" i="14"/>
  <c r="AN34" i="14" s="1"/>
  <c r="AL33" i="14"/>
  <c r="AL34" i="14" s="1"/>
  <c r="AK33" i="14"/>
  <c r="AK34" i="14" s="1"/>
  <c r="AH33" i="14"/>
  <c r="AH34" i="14" s="1"/>
  <c r="AG33" i="14"/>
  <c r="AG34" i="14" s="1"/>
  <c r="AF33" i="14"/>
  <c r="AF34" i="14" s="1"/>
  <c r="AE33" i="14"/>
  <c r="AD33" i="14" s="1"/>
  <c r="AC33" i="14"/>
  <c r="AC34" i="14" s="1"/>
  <c r="AB33" i="14"/>
  <c r="AB34" i="14" s="1"/>
  <c r="Y33" i="14"/>
  <c r="X33" i="14"/>
  <c r="X34" i="14" s="1"/>
  <c r="W33" i="14"/>
  <c r="F33" i="14" s="1"/>
  <c r="F34" i="14" s="1"/>
  <c r="V33" i="14"/>
  <c r="U33" i="14"/>
  <c r="T33" i="14"/>
  <c r="S33" i="14"/>
  <c r="Q33" i="14"/>
  <c r="Q34" i="14" s="1"/>
  <c r="P33" i="14"/>
  <c r="P34" i="14" s="1"/>
  <c r="O33" i="14"/>
  <c r="N33" i="14"/>
  <c r="N34" i="14" s="1"/>
  <c r="L33" i="14"/>
  <c r="L21" i="14" s="1"/>
  <c r="K33" i="14"/>
  <c r="B33" i="14"/>
  <c r="B34" i="14" s="1"/>
  <c r="AM32" i="14"/>
  <c r="AD32" i="14"/>
  <c r="U32" i="14"/>
  <c r="U20" i="14" s="1"/>
  <c r="M32" i="14"/>
  <c r="H32" i="14"/>
  <c r="G32" i="14"/>
  <c r="F32" i="14"/>
  <c r="E32" i="14"/>
  <c r="D32" i="14" s="1"/>
  <c r="C32" i="14"/>
  <c r="B32" i="14"/>
  <c r="AO31" i="14"/>
  <c r="AN31" i="14"/>
  <c r="AE31" i="14"/>
  <c r="AC31" i="14"/>
  <c r="T31" i="14"/>
  <c r="S31" i="14"/>
  <c r="L31" i="14"/>
  <c r="K31" i="14"/>
  <c r="AQ30" i="14"/>
  <c r="H30" i="14" s="1"/>
  <c r="H31" i="14" s="1"/>
  <c r="AP30" i="14"/>
  <c r="AM30" i="14" s="1"/>
  <c r="AM31" i="14" s="1"/>
  <c r="AO30" i="14"/>
  <c r="AN30" i="14"/>
  <c r="AL30" i="14"/>
  <c r="AL31" i="14" s="1"/>
  <c r="AK30" i="14"/>
  <c r="AK31" i="14" s="1"/>
  <c r="AH30" i="14"/>
  <c r="AH31" i="14" s="1"/>
  <c r="AG30" i="14"/>
  <c r="AG31" i="14" s="1"/>
  <c r="AF30" i="14"/>
  <c r="AF21" i="14" s="1"/>
  <c r="AE30" i="14"/>
  <c r="AD30" i="14" s="1"/>
  <c r="AD31" i="14" s="1"/>
  <c r="AC30" i="14"/>
  <c r="AC21" i="14" s="1"/>
  <c r="AC22" i="14" s="1"/>
  <c r="AB30" i="14"/>
  <c r="AB31" i="14" s="1"/>
  <c r="Y30" i="14"/>
  <c r="Y31" i="14" s="1"/>
  <c r="X30" i="14"/>
  <c r="X31" i="14" s="1"/>
  <c r="W30" i="14"/>
  <c r="W31" i="14" s="1"/>
  <c r="V30" i="14"/>
  <c r="U30" i="14" s="1"/>
  <c r="U31" i="14" s="1"/>
  <c r="T30" i="14"/>
  <c r="S30" i="14"/>
  <c r="B30" i="14" s="1"/>
  <c r="B31" i="14" s="1"/>
  <c r="Q30" i="14"/>
  <c r="Q31" i="14" s="1"/>
  <c r="P30" i="14"/>
  <c r="P31" i="14" s="1"/>
  <c r="O30" i="14"/>
  <c r="O31" i="14" s="1"/>
  <c r="N30" i="14"/>
  <c r="N31" i="14" s="1"/>
  <c r="M30" i="14"/>
  <c r="M31" i="14" s="1"/>
  <c r="L30" i="14"/>
  <c r="K30" i="14"/>
  <c r="C30" i="14"/>
  <c r="C31" i="14" s="1"/>
  <c r="AM29" i="14"/>
  <c r="AD29" i="14"/>
  <c r="U29" i="14"/>
  <c r="M29" i="14"/>
  <c r="H29" i="14"/>
  <c r="H20" i="14" s="1"/>
  <c r="H9" i="14" s="1"/>
  <c r="G29" i="14"/>
  <c r="F29" i="14"/>
  <c r="F20" i="14" s="1"/>
  <c r="F9" i="14" s="1"/>
  <c r="E29" i="14"/>
  <c r="C29" i="14"/>
  <c r="B29" i="14"/>
  <c r="AP28" i="14"/>
  <c r="AO28" i="14"/>
  <c r="AN28" i="14"/>
  <c r="AF28" i="14"/>
  <c r="AE28" i="14"/>
  <c r="V28" i="14"/>
  <c r="T28" i="14"/>
  <c r="L28" i="14"/>
  <c r="K28" i="14"/>
  <c r="AQ27" i="14"/>
  <c r="AQ28" i="14" s="1"/>
  <c r="AP27" i="14"/>
  <c r="AO27" i="14"/>
  <c r="AN27" i="14"/>
  <c r="AM27" i="14" s="1"/>
  <c r="AM28" i="14" s="1"/>
  <c r="AL27" i="14"/>
  <c r="AL28" i="14" s="1"/>
  <c r="AK27" i="14"/>
  <c r="AK28" i="14" s="1"/>
  <c r="AH27" i="14"/>
  <c r="AH28" i="14" s="1"/>
  <c r="AG27" i="14"/>
  <c r="AD27" i="14" s="1"/>
  <c r="AF27" i="14"/>
  <c r="AE27" i="14"/>
  <c r="AC27" i="14"/>
  <c r="AC28" i="14" s="1"/>
  <c r="AB27" i="14"/>
  <c r="AB28" i="14" s="1"/>
  <c r="Y27" i="14"/>
  <c r="Y28" i="14" s="1"/>
  <c r="X27" i="14"/>
  <c r="X28" i="14" s="1"/>
  <c r="W27" i="14"/>
  <c r="F27" i="14" s="1"/>
  <c r="F28" i="14" s="1"/>
  <c r="V27" i="14"/>
  <c r="U27" i="14" s="1"/>
  <c r="T27" i="14"/>
  <c r="S27" i="14"/>
  <c r="S28" i="14" s="1"/>
  <c r="Q27" i="14"/>
  <c r="Q28" i="14" s="1"/>
  <c r="P27" i="14"/>
  <c r="P28" i="14" s="1"/>
  <c r="O27" i="14"/>
  <c r="O28" i="14" s="1"/>
  <c r="N27" i="14"/>
  <c r="M27" i="14" s="1"/>
  <c r="M28" i="14" s="1"/>
  <c r="L27" i="14"/>
  <c r="C27" i="14" s="1"/>
  <c r="K27" i="14"/>
  <c r="B27" i="14" s="1"/>
  <c r="B28" i="14" s="1"/>
  <c r="AM26" i="14"/>
  <c r="AD26" i="14"/>
  <c r="U26" i="14"/>
  <c r="M26" i="14"/>
  <c r="M20" i="14" s="1"/>
  <c r="H26" i="14"/>
  <c r="G26" i="14"/>
  <c r="D26" i="14" s="1"/>
  <c r="F26" i="14"/>
  <c r="E26" i="14"/>
  <c r="C26" i="14"/>
  <c r="B26" i="14"/>
  <c r="AQ25" i="14"/>
  <c r="AO25" i="14"/>
  <c r="AH25" i="14"/>
  <c r="AG25" i="14"/>
  <c r="AF25" i="14"/>
  <c r="AC25" i="14"/>
  <c r="AB25" i="14"/>
  <c r="Y25" i="14"/>
  <c r="X25" i="14"/>
  <c r="W25" i="14"/>
  <c r="T25" i="14"/>
  <c r="S25" i="14"/>
  <c r="Q25" i="14"/>
  <c r="P25" i="14"/>
  <c r="O25" i="14"/>
  <c r="L25" i="14"/>
  <c r="K25" i="14"/>
  <c r="H25" i="14"/>
  <c r="AQ24" i="14"/>
  <c r="AP24" i="14"/>
  <c r="AP21" i="14" s="1"/>
  <c r="AO24" i="14"/>
  <c r="F24" i="14" s="1"/>
  <c r="AN24" i="14"/>
  <c r="AM24" i="14" s="1"/>
  <c r="AL24" i="14"/>
  <c r="AL25" i="14" s="1"/>
  <c r="AK24" i="14"/>
  <c r="AK25" i="14" s="1"/>
  <c r="AD24" i="14"/>
  <c r="U24" i="14"/>
  <c r="U25" i="14" s="1"/>
  <c r="M24" i="14"/>
  <c r="H24" i="14"/>
  <c r="G24" i="14"/>
  <c r="C24" i="14"/>
  <c r="AM23" i="14"/>
  <c r="AM20" i="14" s="1"/>
  <c r="AM9" i="14" s="1"/>
  <c r="AD23" i="14"/>
  <c r="AD25" i="14" s="1"/>
  <c r="U23" i="14"/>
  <c r="M23" i="14"/>
  <c r="H23" i="14"/>
  <c r="G23" i="14"/>
  <c r="F23" i="14"/>
  <c r="E23" i="14"/>
  <c r="D23" i="14"/>
  <c r="C23" i="14"/>
  <c r="C25" i="14" s="1"/>
  <c r="B23" i="14"/>
  <c r="B20" i="14" s="1"/>
  <c r="K22" i="14"/>
  <c r="AQ21" i="14"/>
  <c r="AQ22" i="14" s="1"/>
  <c r="AK21" i="14"/>
  <c r="AK22" i="14" s="1"/>
  <c r="AG21" i="14"/>
  <c r="AG10" i="14" s="1"/>
  <c r="AG11" i="14" s="1"/>
  <c r="Y21" i="14"/>
  <c r="Y22" i="14" s="1"/>
  <c r="W21" i="14"/>
  <c r="W22" i="14" s="1"/>
  <c r="T21" i="14"/>
  <c r="T22" i="14" s="1"/>
  <c r="P21" i="14"/>
  <c r="P22" i="14" s="1"/>
  <c r="N21" i="14"/>
  <c r="N10" i="14" s="1"/>
  <c r="K21" i="14"/>
  <c r="AQ20" i="14"/>
  <c r="AQ9" i="14" s="1"/>
  <c r="AP20" i="14"/>
  <c r="AO20" i="14"/>
  <c r="AN20" i="14"/>
  <c r="AN9" i="14" s="1"/>
  <c r="AL20" i="14"/>
  <c r="AL9" i="14" s="1"/>
  <c r="AK20" i="14"/>
  <c r="AH20" i="14"/>
  <c r="AG20" i="14"/>
  <c r="AG9" i="14" s="1"/>
  <c r="AF20" i="14"/>
  <c r="AE20" i="14"/>
  <c r="AC20" i="14"/>
  <c r="AB20" i="14"/>
  <c r="AB9" i="14" s="1"/>
  <c r="Y20" i="14"/>
  <c r="X20" i="14"/>
  <c r="W20" i="14"/>
  <c r="W9" i="14" s="1"/>
  <c r="V20" i="14"/>
  <c r="T20" i="14"/>
  <c r="T9" i="14" s="1"/>
  <c r="S20" i="14"/>
  <c r="Q20" i="14"/>
  <c r="Q9" i="14" s="1"/>
  <c r="P20" i="14"/>
  <c r="O20" i="14"/>
  <c r="N20" i="14"/>
  <c r="N9" i="14" s="1"/>
  <c r="L20" i="14"/>
  <c r="K20" i="14"/>
  <c r="K9" i="14" s="1"/>
  <c r="G20" i="14"/>
  <c r="G9" i="14" s="1"/>
  <c r="AM18" i="14"/>
  <c r="AD18" i="14"/>
  <c r="U18" i="14"/>
  <c r="M18" i="14"/>
  <c r="H18" i="14"/>
  <c r="G18" i="14"/>
  <c r="F18" i="14"/>
  <c r="E18" i="14"/>
  <c r="D18" i="14"/>
  <c r="C18" i="14"/>
  <c r="B18" i="14"/>
  <c r="AM17" i="14"/>
  <c r="AD17" i="14"/>
  <c r="U17" i="14"/>
  <c r="M17" i="14"/>
  <c r="H17" i="14"/>
  <c r="G17" i="14"/>
  <c r="F17" i="14"/>
  <c r="E17" i="14"/>
  <c r="D17" i="14" s="1"/>
  <c r="C17" i="14"/>
  <c r="B17" i="14"/>
  <c r="AM16" i="14"/>
  <c r="AD16" i="14"/>
  <c r="U16" i="14"/>
  <c r="M16" i="14"/>
  <c r="H16" i="14"/>
  <c r="G16" i="14"/>
  <c r="F16" i="14"/>
  <c r="E16" i="14"/>
  <c r="D16" i="14" s="1"/>
  <c r="C16" i="14"/>
  <c r="B16" i="14"/>
  <c r="AQ15" i="14"/>
  <c r="AP15" i="14"/>
  <c r="AH15" i="14"/>
  <c r="AG15" i="14"/>
  <c r="AF15" i="14"/>
  <c r="X15" i="14"/>
  <c r="W15" i="14"/>
  <c r="V15" i="14"/>
  <c r="O15" i="14"/>
  <c r="N15" i="14"/>
  <c r="AQ14" i="14"/>
  <c r="AP14" i="14"/>
  <c r="AO14" i="14"/>
  <c r="AO15" i="14" s="1"/>
  <c r="AN14" i="14"/>
  <c r="AN15" i="14" s="1"/>
  <c r="AM14" i="14"/>
  <c r="AM15" i="14" s="1"/>
  <c r="AL14" i="14"/>
  <c r="C14" i="14" s="1"/>
  <c r="AK14" i="14"/>
  <c r="AK15" i="14" s="1"/>
  <c r="AH14" i="14"/>
  <c r="AG14" i="14"/>
  <c r="AF14" i="14"/>
  <c r="AD14" i="14" s="1"/>
  <c r="AE14" i="14"/>
  <c r="AE15" i="14" s="1"/>
  <c r="AC14" i="14"/>
  <c r="AC15" i="14" s="1"/>
  <c r="AB14" i="14"/>
  <c r="AB15" i="14" s="1"/>
  <c r="Y14" i="14"/>
  <c r="H14" i="14" s="1"/>
  <c r="X14" i="14"/>
  <c r="W14" i="14"/>
  <c r="V14" i="14"/>
  <c r="U14" i="14" s="1"/>
  <c r="T14" i="14"/>
  <c r="T15" i="14" s="1"/>
  <c r="S14" i="14"/>
  <c r="S15" i="14" s="1"/>
  <c r="Q14" i="14"/>
  <c r="Q15" i="14" s="1"/>
  <c r="P14" i="14"/>
  <c r="M14" i="14" s="1"/>
  <c r="O14" i="14"/>
  <c r="N14" i="14"/>
  <c r="E14" i="14" s="1"/>
  <c r="L14" i="14"/>
  <c r="L15" i="14" s="1"/>
  <c r="K14" i="14"/>
  <c r="K15" i="14" s="1"/>
  <c r="F14" i="14"/>
  <c r="F15" i="14" s="1"/>
  <c r="AM13" i="14"/>
  <c r="AD13" i="14"/>
  <c r="U13" i="14"/>
  <c r="U9" i="14" s="1"/>
  <c r="M13" i="14"/>
  <c r="M9" i="14" s="1"/>
  <c r="H13" i="14"/>
  <c r="G13" i="14"/>
  <c r="F13" i="14"/>
  <c r="D13" i="14" s="1"/>
  <c r="E13" i="14"/>
  <c r="C13" i="14"/>
  <c r="B13" i="14"/>
  <c r="B9" i="14" s="1"/>
  <c r="AP9" i="14"/>
  <c r="AO9" i="14"/>
  <c r="AK9" i="14"/>
  <c r="AH9" i="14"/>
  <c r="AF9" i="14"/>
  <c r="AE9" i="14"/>
  <c r="AC9" i="14"/>
  <c r="Y9" i="14"/>
  <c r="X9" i="14"/>
  <c r="V9" i="14"/>
  <c r="S9" i="14"/>
  <c r="P9" i="14"/>
  <c r="O9" i="14"/>
  <c r="L9" i="14"/>
  <c r="D24" i="12" l="1"/>
  <c r="E21" i="12"/>
  <c r="E25" i="12"/>
  <c r="L10" i="12"/>
  <c r="AP25" i="12"/>
  <c r="D30" i="12"/>
  <c r="N34" i="12"/>
  <c r="E33" i="12"/>
  <c r="Y21" i="12"/>
  <c r="AL28" i="12"/>
  <c r="C29" i="12"/>
  <c r="L31" i="12"/>
  <c r="H35" i="12"/>
  <c r="H37" i="12" s="1"/>
  <c r="Q37" i="12"/>
  <c r="B37" i="12"/>
  <c r="G13" i="12"/>
  <c r="AG25" i="12"/>
  <c r="AG20" i="12"/>
  <c r="AG22" i="12" s="1"/>
  <c r="X21" i="12"/>
  <c r="S28" i="12"/>
  <c r="B27" i="12"/>
  <c r="AM28" i="12"/>
  <c r="G35" i="12"/>
  <c r="N9" i="12"/>
  <c r="P15" i="12"/>
  <c r="D16" i="12"/>
  <c r="AK21" i="12"/>
  <c r="AK22" i="12" s="1"/>
  <c r="C21" i="12"/>
  <c r="C10" i="12" s="1"/>
  <c r="G24" i="12"/>
  <c r="P25" i="12"/>
  <c r="P21" i="12"/>
  <c r="C25" i="12"/>
  <c r="K28" i="12"/>
  <c r="B26" i="12"/>
  <c r="T20" i="12"/>
  <c r="T9" i="12" s="1"/>
  <c r="E29" i="12"/>
  <c r="D29" i="12" s="1"/>
  <c r="F29" i="12"/>
  <c r="W31" i="12"/>
  <c r="K31" i="12"/>
  <c r="AK37" i="12"/>
  <c r="AF21" i="12"/>
  <c r="AF22" i="12" s="1"/>
  <c r="AF25" i="12"/>
  <c r="F13" i="12"/>
  <c r="D13" i="12" s="1"/>
  <c r="AH15" i="12"/>
  <c r="AH9" i="12"/>
  <c r="G27" i="12"/>
  <c r="G28" i="12" s="1"/>
  <c r="O9" i="12"/>
  <c r="AE15" i="12"/>
  <c r="AE10" i="12"/>
  <c r="AO15" i="12"/>
  <c r="AO10" i="12"/>
  <c r="AO11" i="12" s="1"/>
  <c r="K21" i="12"/>
  <c r="AL21" i="12"/>
  <c r="G23" i="12"/>
  <c r="P20" i="12"/>
  <c r="M20" i="12" s="1"/>
  <c r="Y20" i="12"/>
  <c r="Y9" i="12" s="1"/>
  <c r="H23" i="12"/>
  <c r="D23" i="12" s="1"/>
  <c r="AK20" i="12"/>
  <c r="AK9" i="12" s="1"/>
  <c r="L20" i="12"/>
  <c r="L9" i="12" s="1"/>
  <c r="C26" i="12"/>
  <c r="G31" i="12"/>
  <c r="G32" i="12"/>
  <c r="C33" i="12"/>
  <c r="C34" i="12" s="1"/>
  <c r="V21" i="12"/>
  <c r="V25" i="12"/>
  <c r="B15" i="12"/>
  <c r="O15" i="12"/>
  <c r="AB21" i="12"/>
  <c r="O21" i="12"/>
  <c r="AH21" i="12"/>
  <c r="AH25" i="12"/>
  <c r="H27" i="12"/>
  <c r="H28" i="12" s="1"/>
  <c r="AC28" i="12"/>
  <c r="AC21" i="12"/>
  <c r="P9" i="12"/>
  <c r="V15" i="12"/>
  <c r="AF15" i="12"/>
  <c r="AP10" i="12"/>
  <c r="AP11" i="12" s="1"/>
  <c r="AP15" i="12"/>
  <c r="H18" i="12"/>
  <c r="D18" i="12" s="1"/>
  <c r="AE20" i="12"/>
  <c r="AE22" i="12" s="1"/>
  <c r="F24" i="12"/>
  <c r="S21" i="12"/>
  <c r="B31" i="12"/>
  <c r="T21" i="12"/>
  <c r="C30" i="12"/>
  <c r="AD31" i="12"/>
  <c r="AN31" i="12"/>
  <c r="D32" i="12"/>
  <c r="K40" i="12"/>
  <c r="B39" i="12"/>
  <c r="B40" i="12" s="1"/>
  <c r="D35" i="12"/>
  <c r="N15" i="12"/>
  <c r="E14" i="12"/>
  <c r="W15" i="12"/>
  <c r="F14" i="12"/>
  <c r="AG15" i="12"/>
  <c r="AQ15" i="12"/>
  <c r="AQ10" i="12"/>
  <c r="AQ11" i="12" s="1"/>
  <c r="N21" i="12"/>
  <c r="AN21" i="12"/>
  <c r="W22" i="12"/>
  <c r="AO34" i="12"/>
  <c r="AO21" i="12"/>
  <c r="AO22" i="12" s="1"/>
  <c r="AE34" i="12"/>
  <c r="K37" i="12"/>
  <c r="D38" i="12"/>
  <c r="L40" i="12"/>
  <c r="C39" i="12"/>
  <c r="C40" i="12" s="1"/>
  <c r="F39" i="12"/>
  <c r="F40" i="12" s="1"/>
  <c r="AO40" i="12"/>
  <c r="V9" i="12"/>
  <c r="U9" i="12" s="1"/>
  <c r="K20" i="12"/>
  <c r="K9" i="12" s="1"/>
  <c r="C36" i="12"/>
  <c r="C37" i="12" s="1"/>
  <c r="O34" i="12"/>
  <c r="X34" i="12"/>
  <c r="P34" i="12"/>
  <c r="G33" i="12"/>
  <c r="G34" i="12" s="1"/>
  <c r="AK10" i="12"/>
  <c r="Q21" i="12"/>
  <c r="AQ21" i="12"/>
  <c r="AQ22" i="12" s="1"/>
  <c r="H24" i="12"/>
  <c r="S25" i="12"/>
  <c r="C27" i="12"/>
  <c r="C28" i="12" s="1"/>
  <c r="V28" i="12"/>
  <c r="N31" i="12"/>
  <c r="B32" i="12"/>
  <c r="B34" i="12" s="1"/>
  <c r="F33" i="12"/>
  <c r="F34" i="12" s="1"/>
  <c r="N37" i="12"/>
  <c r="E36" i="12"/>
  <c r="W37" i="12"/>
  <c r="AG37" i="12"/>
  <c r="AQ37" i="12"/>
  <c r="Y10" i="12"/>
  <c r="Y11" i="12" s="1"/>
  <c r="S20" i="12"/>
  <c r="S9" i="12" s="1"/>
  <c r="Y34" i="12"/>
  <c r="B13" i="12"/>
  <c r="AN9" i="12"/>
  <c r="AM9" i="12" s="1"/>
  <c r="H14" i="12"/>
  <c r="S10" i="12"/>
  <c r="AC10" i="12"/>
  <c r="AC11" i="12" s="1"/>
  <c r="C18" i="12"/>
  <c r="V20" i="12"/>
  <c r="K25" i="12"/>
  <c r="B24" i="12"/>
  <c r="T25" i="12"/>
  <c r="AD25" i="12"/>
  <c r="AN25" i="12"/>
  <c r="F26" i="12"/>
  <c r="F28" i="12" s="1"/>
  <c r="L28" i="12"/>
  <c r="H33" i="12"/>
  <c r="H34" i="12" s="1"/>
  <c r="O37" i="12"/>
  <c r="X37" i="12"/>
  <c r="AH37" i="12"/>
  <c r="H13" i="12"/>
  <c r="G14" i="12"/>
  <c r="P10" i="12"/>
  <c r="P11" i="12" s="1"/>
  <c r="Q15" i="12"/>
  <c r="AC20" i="12"/>
  <c r="AC9" i="12" s="1"/>
  <c r="AK34" i="12"/>
  <c r="C35" i="12"/>
  <c r="AK15" i="12"/>
  <c r="G16" i="12"/>
  <c r="F17" i="12"/>
  <c r="D17" i="12" s="1"/>
  <c r="F30" i="12"/>
  <c r="F31" i="12" s="1"/>
  <c r="Q31" i="12"/>
  <c r="H30" i="12"/>
  <c r="H31" i="12" s="1"/>
  <c r="K34" i="12"/>
  <c r="G38" i="12"/>
  <c r="G40" i="12" s="1"/>
  <c r="H40" i="12"/>
  <c r="F36" i="12"/>
  <c r="F37" i="12" s="1"/>
  <c r="E39" i="12"/>
  <c r="G36" i="12"/>
  <c r="G37" i="12" s="1"/>
  <c r="AD15" i="14"/>
  <c r="H15" i="14"/>
  <c r="C15" i="14"/>
  <c r="M21" i="14"/>
  <c r="M22" i="14" s="1"/>
  <c r="D20" i="14"/>
  <c r="U15" i="14"/>
  <c r="F25" i="14"/>
  <c r="D39" i="14"/>
  <c r="D40" i="14" s="1"/>
  <c r="E40" i="14"/>
  <c r="M15" i="14"/>
  <c r="AF22" i="14"/>
  <c r="AF10" i="14"/>
  <c r="AF11" i="14" s="1"/>
  <c r="AM25" i="14"/>
  <c r="AD28" i="14"/>
  <c r="G21" i="14"/>
  <c r="G22" i="14" s="1"/>
  <c r="L10" i="14"/>
  <c r="L11" i="14" s="1"/>
  <c r="L22" i="14"/>
  <c r="E15" i="14"/>
  <c r="D14" i="14"/>
  <c r="AD9" i="14"/>
  <c r="D9" i="14"/>
  <c r="U21" i="14"/>
  <c r="U22" i="14" s="1"/>
  <c r="U28" i="14"/>
  <c r="C28" i="14"/>
  <c r="AP22" i="14"/>
  <c r="AP10" i="14"/>
  <c r="AP11" i="14" s="1"/>
  <c r="C9" i="14"/>
  <c r="AG22" i="14"/>
  <c r="W10" i="14"/>
  <c r="W11" i="14" s="1"/>
  <c r="AQ10" i="14"/>
  <c r="AQ11" i="14" s="1"/>
  <c r="G14" i="14"/>
  <c r="O21" i="14"/>
  <c r="X21" i="14"/>
  <c r="AH21" i="14"/>
  <c r="G25" i="14"/>
  <c r="AP25" i="14"/>
  <c r="E27" i="14"/>
  <c r="C33" i="14"/>
  <c r="C34" i="14" s="1"/>
  <c r="M33" i="14"/>
  <c r="F36" i="14"/>
  <c r="F37" i="14" s="1"/>
  <c r="X37" i="14"/>
  <c r="AK37" i="14"/>
  <c r="AD39" i="14"/>
  <c r="AD40" i="14" s="1"/>
  <c r="E30" i="14"/>
  <c r="G36" i="14"/>
  <c r="G37" i="14" s="1"/>
  <c r="P10" i="14"/>
  <c r="P11" i="14" s="1"/>
  <c r="Y10" i="14"/>
  <c r="Y11" i="14" s="1"/>
  <c r="AK10" i="14"/>
  <c r="AK11" i="14" s="1"/>
  <c r="P15" i="14"/>
  <c r="Y15" i="14"/>
  <c r="Q21" i="14"/>
  <c r="Q22" i="14" s="1"/>
  <c r="AB21" i="14"/>
  <c r="AB22" i="14" s="1"/>
  <c r="AL21" i="14"/>
  <c r="AL22" i="14" s="1"/>
  <c r="B24" i="14"/>
  <c r="G27" i="14"/>
  <c r="G28" i="14" s="1"/>
  <c r="N28" i="14"/>
  <c r="W28" i="14"/>
  <c r="AG28" i="14"/>
  <c r="F30" i="14"/>
  <c r="F31" i="14" s="1"/>
  <c r="V31" i="14"/>
  <c r="AF31" i="14"/>
  <c r="AP31" i="14"/>
  <c r="E33" i="14"/>
  <c r="L34" i="14"/>
  <c r="W34" i="14"/>
  <c r="H36" i="14"/>
  <c r="H37" i="14" s="1"/>
  <c r="AM36" i="14"/>
  <c r="AM21" i="14" s="1"/>
  <c r="E37" i="14"/>
  <c r="C39" i="14"/>
  <c r="C40" i="14" s="1"/>
  <c r="M39" i="14"/>
  <c r="M40" i="14" s="1"/>
  <c r="S40" i="14"/>
  <c r="AE34" i="14"/>
  <c r="O37" i="14"/>
  <c r="AB10" i="14"/>
  <c r="AB11" i="14" s="1"/>
  <c r="AL10" i="14"/>
  <c r="AL11" i="14" s="1"/>
  <c r="B14" i="14"/>
  <c r="AL15" i="14"/>
  <c r="C20" i="14"/>
  <c r="S21" i="14"/>
  <c r="S22" i="14" s="1"/>
  <c r="H27" i="14"/>
  <c r="H28" i="14" s="1"/>
  <c r="G30" i="14"/>
  <c r="G31" i="14" s="1"/>
  <c r="AQ31" i="14"/>
  <c r="AD36" i="14"/>
  <c r="AN40" i="14"/>
  <c r="AC10" i="14"/>
  <c r="AC11" i="14" s="1"/>
  <c r="AN21" i="14"/>
  <c r="AN10" i="14" s="1"/>
  <c r="M25" i="14"/>
  <c r="K10" i="14"/>
  <c r="K11" i="14" s="1"/>
  <c r="T10" i="14"/>
  <c r="T11" i="14" s="1"/>
  <c r="E20" i="14"/>
  <c r="E9" i="14" s="1"/>
  <c r="AE21" i="14"/>
  <c r="AE10" i="14" s="1"/>
  <c r="AO21" i="14"/>
  <c r="E24" i="14"/>
  <c r="D29" i="14"/>
  <c r="H33" i="14"/>
  <c r="H34" i="14" s="1"/>
  <c r="AM33" i="14"/>
  <c r="V21" i="14"/>
  <c r="V10" i="14" s="1"/>
  <c r="H10" i="12" l="1"/>
  <c r="H11" i="12" s="1"/>
  <c r="H15" i="12"/>
  <c r="AF10" i="12"/>
  <c r="AF11" i="12" s="1"/>
  <c r="AG9" i="12"/>
  <c r="AG11" i="12" s="1"/>
  <c r="M21" i="12"/>
  <c r="M22" i="12" s="1"/>
  <c r="N22" i="12"/>
  <c r="F9" i="12"/>
  <c r="X22" i="12"/>
  <c r="X10" i="12"/>
  <c r="X11" i="12" s="1"/>
  <c r="G15" i="12"/>
  <c r="D26" i="12"/>
  <c r="F10" i="12"/>
  <c r="F11" i="12" s="1"/>
  <c r="F15" i="12"/>
  <c r="F25" i="12"/>
  <c r="F21" i="12"/>
  <c r="AB22" i="12"/>
  <c r="AB10" i="12"/>
  <c r="AB11" i="12" s="1"/>
  <c r="M9" i="12"/>
  <c r="E20" i="12"/>
  <c r="L11" i="12"/>
  <c r="Q10" i="12"/>
  <c r="Q11" i="12" s="1"/>
  <c r="Q22" i="12"/>
  <c r="D31" i="12"/>
  <c r="D25" i="12"/>
  <c r="S11" i="12"/>
  <c r="AH22" i="12"/>
  <c r="AH10" i="12"/>
  <c r="AH11" i="12" s="1"/>
  <c r="B20" i="12"/>
  <c r="AD21" i="12"/>
  <c r="O22" i="12"/>
  <c r="O10" i="12"/>
  <c r="O11" i="12" s="1"/>
  <c r="B21" i="12"/>
  <c r="B25" i="12"/>
  <c r="F20" i="12"/>
  <c r="G20" i="12"/>
  <c r="G9" i="12" s="1"/>
  <c r="P22" i="12"/>
  <c r="Y22" i="12"/>
  <c r="L22" i="12"/>
  <c r="AK11" i="12"/>
  <c r="H20" i="12"/>
  <c r="E37" i="12"/>
  <c r="D36" i="12"/>
  <c r="D37" i="12" s="1"/>
  <c r="N10" i="12"/>
  <c r="AD20" i="12"/>
  <c r="AE9" i="12"/>
  <c r="AD9" i="12" s="1"/>
  <c r="AC22" i="12"/>
  <c r="AL22" i="12"/>
  <c r="AL10" i="12"/>
  <c r="AL11" i="12" s="1"/>
  <c r="E34" i="12"/>
  <c r="D33" i="12"/>
  <c r="D34" i="12" s="1"/>
  <c r="T10" i="12"/>
  <c r="T11" i="12" s="1"/>
  <c r="T22" i="12"/>
  <c r="E31" i="12"/>
  <c r="D39" i="12"/>
  <c r="D40" i="12" s="1"/>
  <c r="E40" i="12"/>
  <c r="H9" i="12"/>
  <c r="S22" i="12"/>
  <c r="U21" i="12"/>
  <c r="U22" i="12" s="1"/>
  <c r="V10" i="12"/>
  <c r="V22" i="12"/>
  <c r="H25" i="12"/>
  <c r="H21" i="12"/>
  <c r="H22" i="12" s="1"/>
  <c r="U20" i="12"/>
  <c r="B9" i="12"/>
  <c r="D27" i="12"/>
  <c r="D28" i="12" s="1"/>
  <c r="AN22" i="12"/>
  <c r="AM21" i="12"/>
  <c r="AM22" i="12" s="1"/>
  <c r="AN10" i="12"/>
  <c r="E10" i="12"/>
  <c r="D14" i="12"/>
  <c r="D15" i="12" s="1"/>
  <c r="E15" i="12"/>
  <c r="C31" i="12"/>
  <c r="C20" i="12"/>
  <c r="C9" i="12" s="1"/>
  <c r="C11" i="12" s="1"/>
  <c r="K10" i="12"/>
  <c r="K11" i="12" s="1"/>
  <c r="K22" i="12"/>
  <c r="G25" i="12"/>
  <c r="G21" i="12"/>
  <c r="B28" i="12"/>
  <c r="AM22" i="14"/>
  <c r="AM10" i="14"/>
  <c r="AM11" i="14" s="1"/>
  <c r="AH10" i="14"/>
  <c r="AH11" i="14" s="1"/>
  <c r="AH22" i="14"/>
  <c r="AO10" i="14"/>
  <c r="AO11" i="14" s="1"/>
  <c r="AO22" i="14"/>
  <c r="X10" i="14"/>
  <c r="X11" i="14" s="1"/>
  <c r="X22" i="14"/>
  <c r="D36" i="14"/>
  <c r="D37" i="14" s="1"/>
  <c r="AD21" i="14"/>
  <c r="E34" i="14"/>
  <c r="D33" i="14"/>
  <c r="D34" i="14" s="1"/>
  <c r="O10" i="14"/>
  <c r="O11" i="14" s="1"/>
  <c r="O22" i="14"/>
  <c r="D15" i="14"/>
  <c r="Q10" i="14"/>
  <c r="Q11" i="14" s="1"/>
  <c r="S10" i="14"/>
  <c r="S11" i="14" s="1"/>
  <c r="B21" i="14"/>
  <c r="B22" i="14" s="1"/>
  <c r="B25" i="14"/>
  <c r="G15" i="14"/>
  <c r="G10" i="14"/>
  <c r="G11" i="14" s="1"/>
  <c r="C21" i="14"/>
  <c r="F21" i="14"/>
  <c r="B15" i="14"/>
  <c r="U10" i="14"/>
  <c r="U11" i="14" s="1"/>
  <c r="E31" i="14"/>
  <c r="D30" i="14"/>
  <c r="D31" i="14" s="1"/>
  <c r="E25" i="14"/>
  <c r="D24" i="14"/>
  <c r="E21" i="14"/>
  <c r="H21" i="14"/>
  <c r="E28" i="14"/>
  <c r="D27" i="14"/>
  <c r="D28" i="14" s="1"/>
  <c r="M10" i="14"/>
  <c r="M11" i="14" s="1"/>
  <c r="AD22" i="12" l="1"/>
  <c r="D20" i="12"/>
  <c r="E9" i="12"/>
  <c r="D9" i="12" s="1"/>
  <c r="G22" i="12"/>
  <c r="E11" i="12"/>
  <c r="D10" i="12"/>
  <c r="D11" i="12" s="1"/>
  <c r="AM10" i="12"/>
  <c r="AM11" i="12" s="1"/>
  <c r="AN11" i="12"/>
  <c r="E22" i="12"/>
  <c r="B22" i="12"/>
  <c r="B10" i="12"/>
  <c r="B11" i="12" s="1"/>
  <c r="G10" i="12"/>
  <c r="G11" i="12" s="1"/>
  <c r="N11" i="12"/>
  <c r="M10" i="12"/>
  <c r="M11" i="12" s="1"/>
  <c r="AE11" i="12"/>
  <c r="AD10" i="12"/>
  <c r="AD11" i="12" s="1"/>
  <c r="V11" i="12"/>
  <c r="U10" i="12"/>
  <c r="U11" i="12" s="1"/>
  <c r="D21" i="12"/>
  <c r="D22" i="12" s="1"/>
  <c r="C22" i="12"/>
  <c r="F22" i="12"/>
  <c r="F22" i="14"/>
  <c r="F10" i="14"/>
  <c r="F11" i="14" s="1"/>
  <c r="D25" i="14"/>
  <c r="D21" i="14"/>
  <c r="C22" i="14"/>
  <c r="C10" i="14"/>
  <c r="C11" i="14" s="1"/>
  <c r="B10" i="14"/>
  <c r="B11" i="14" s="1"/>
  <c r="AD22" i="14"/>
  <c r="AD10" i="14"/>
  <c r="AD11" i="14" s="1"/>
  <c r="E22" i="14"/>
  <c r="E10" i="14"/>
  <c r="E11" i="14" s="1"/>
  <c r="H22" i="14"/>
  <c r="H10" i="14"/>
  <c r="H11" i="14" s="1"/>
  <c r="D22" i="14" l="1"/>
  <c r="D10" i="14"/>
  <c r="D11" i="14" s="1"/>
  <c r="AQ40" i="28" l="1"/>
  <c r="AP40" i="28"/>
  <c r="AO40" i="28"/>
  <c r="AN40" i="28"/>
  <c r="AL40" i="28"/>
  <c r="AK40" i="28"/>
  <c r="AH40" i="28"/>
  <c r="AG40" i="28"/>
  <c r="AF40" i="28"/>
  <c r="AE40" i="28"/>
  <c r="AC40" i="28"/>
  <c r="AB40" i="28"/>
  <c r="Y40" i="28"/>
  <c r="X40" i="28"/>
  <c r="W40" i="28"/>
  <c r="V40" i="28"/>
  <c r="T40" i="28"/>
  <c r="S40" i="28"/>
  <c r="Q40" i="28"/>
  <c r="P40" i="28"/>
  <c r="O40" i="28"/>
  <c r="N40" i="28"/>
  <c r="L40" i="28"/>
  <c r="K40" i="28"/>
  <c r="G40" i="28"/>
  <c r="F40" i="28"/>
  <c r="E40" i="28"/>
  <c r="AM39" i="28"/>
  <c r="AD39" i="28"/>
  <c r="AD40" i="28" s="1"/>
  <c r="U39" i="28"/>
  <c r="U40" i="28" s="1"/>
  <c r="M39" i="28"/>
  <c r="M40" i="28" s="1"/>
  <c r="H39" i="28"/>
  <c r="H40" i="28" s="1"/>
  <c r="G39" i="28"/>
  <c r="F39" i="28"/>
  <c r="E39" i="28"/>
  <c r="C39" i="28"/>
  <c r="B39" i="28"/>
  <c r="B40" i="28" s="1"/>
  <c r="AM38" i="28"/>
  <c r="AM40" i="28" s="1"/>
  <c r="AD38" i="28"/>
  <c r="U38" i="28"/>
  <c r="M38" i="28"/>
  <c r="H38" i="28"/>
  <c r="G38" i="28"/>
  <c r="F38" i="28"/>
  <c r="E38" i="28"/>
  <c r="D38" i="28"/>
  <c r="C38" i="28"/>
  <c r="C40" i="28" s="1"/>
  <c r="B38" i="28"/>
  <c r="AQ37" i="28"/>
  <c r="AP37" i="28"/>
  <c r="AO37" i="28"/>
  <c r="AN37" i="28"/>
  <c r="AL37" i="28"/>
  <c r="AK37" i="28"/>
  <c r="AH37" i="28"/>
  <c r="AG37" i="28"/>
  <c r="AF37" i="28"/>
  <c r="AE37" i="28"/>
  <c r="AC37" i="28"/>
  <c r="AB37" i="28"/>
  <c r="Y37" i="28"/>
  <c r="X37" i="28"/>
  <c r="W37" i="28"/>
  <c r="V37" i="28"/>
  <c r="T37" i="28"/>
  <c r="S37" i="28"/>
  <c r="Q37" i="28"/>
  <c r="P37" i="28"/>
  <c r="O37" i="28"/>
  <c r="N37" i="28"/>
  <c r="L37" i="28"/>
  <c r="K37" i="28"/>
  <c r="H37" i="28"/>
  <c r="G37" i="28"/>
  <c r="F37" i="28"/>
  <c r="AM36" i="28"/>
  <c r="AD36" i="28"/>
  <c r="AD37" i="28" s="1"/>
  <c r="U36" i="28"/>
  <c r="U37" i="28" s="1"/>
  <c r="M36" i="28"/>
  <c r="M37" i="28" s="1"/>
  <c r="H36" i="28"/>
  <c r="G36" i="28"/>
  <c r="F36" i="28"/>
  <c r="E36" i="28"/>
  <c r="C36" i="28"/>
  <c r="C37" i="28" s="1"/>
  <c r="B36" i="28"/>
  <c r="B37" i="28" s="1"/>
  <c r="AM35" i="28"/>
  <c r="D35" i="28" s="1"/>
  <c r="AD35" i="28"/>
  <c r="U35" i="28"/>
  <c r="M35" i="28"/>
  <c r="H35" i="28"/>
  <c r="G35" i="28"/>
  <c r="F35" i="28"/>
  <c r="E35" i="28"/>
  <c r="E37" i="28" s="1"/>
  <c r="C35" i="28"/>
  <c r="B35" i="28"/>
  <c r="AQ34" i="28"/>
  <c r="AP34" i="28"/>
  <c r="AO34" i="28"/>
  <c r="AN34" i="28"/>
  <c r="AL34" i="28"/>
  <c r="AK34" i="28"/>
  <c r="AH34" i="28"/>
  <c r="AG34" i="28"/>
  <c r="AF34" i="28"/>
  <c r="AE34" i="28"/>
  <c r="AC34" i="28"/>
  <c r="AB34" i="28"/>
  <c r="Y34" i="28"/>
  <c r="X34" i="28"/>
  <c r="W34" i="28"/>
  <c r="V34" i="28"/>
  <c r="T34" i="28"/>
  <c r="S34" i="28"/>
  <c r="Q34" i="28"/>
  <c r="P34" i="28"/>
  <c r="O34" i="28"/>
  <c r="N34" i="28"/>
  <c r="L34" i="28"/>
  <c r="K34" i="28"/>
  <c r="H34" i="28"/>
  <c r="G34" i="28"/>
  <c r="AD33" i="28"/>
  <c r="AD34" i="28" s="1"/>
  <c r="U33" i="28"/>
  <c r="U34" i="28" s="1"/>
  <c r="M33" i="28"/>
  <c r="M21" i="28" s="1"/>
  <c r="H33" i="28"/>
  <c r="G33" i="28"/>
  <c r="F33" i="28"/>
  <c r="E33" i="28"/>
  <c r="C33" i="28"/>
  <c r="C34" i="28" s="1"/>
  <c r="B33" i="28"/>
  <c r="B34" i="28" s="1"/>
  <c r="AM32" i="28"/>
  <c r="AM34" i="28" s="1"/>
  <c r="AD32" i="28"/>
  <c r="U32" i="28"/>
  <c r="M32" i="28"/>
  <c r="H32" i="28"/>
  <c r="G32" i="28"/>
  <c r="F32" i="28"/>
  <c r="F34" i="28" s="1"/>
  <c r="E32" i="28"/>
  <c r="E34" i="28" s="1"/>
  <c r="D32" i="28"/>
  <c r="C32" i="28"/>
  <c r="B32" i="28"/>
  <c r="AQ31" i="28"/>
  <c r="AP31" i="28"/>
  <c r="AO31" i="28"/>
  <c r="AN31" i="28"/>
  <c r="AM31" i="28"/>
  <c r="AL31" i="28"/>
  <c r="AK31" i="28"/>
  <c r="AH31" i="28"/>
  <c r="AG31" i="28"/>
  <c r="AF31" i="28"/>
  <c r="AE31" i="28"/>
  <c r="AC31" i="28"/>
  <c r="AB31" i="28"/>
  <c r="Y31" i="28"/>
  <c r="X31" i="28"/>
  <c r="W31" i="28"/>
  <c r="V31" i="28"/>
  <c r="T31" i="28"/>
  <c r="S31" i="28"/>
  <c r="Q31" i="28"/>
  <c r="P31" i="28"/>
  <c r="O31" i="28"/>
  <c r="N31" i="28"/>
  <c r="L31" i="28"/>
  <c r="K31" i="28"/>
  <c r="H31" i="28"/>
  <c r="G31" i="28"/>
  <c r="AM30" i="28"/>
  <c r="AD30" i="28"/>
  <c r="AD31" i="28" s="1"/>
  <c r="U30" i="28"/>
  <c r="D30" i="28" s="1"/>
  <c r="D31" i="28" s="1"/>
  <c r="M30" i="28"/>
  <c r="M31" i="28" s="1"/>
  <c r="H30" i="28"/>
  <c r="G30" i="28"/>
  <c r="F30" i="28"/>
  <c r="E30" i="28"/>
  <c r="C30" i="28"/>
  <c r="C31" i="28" s="1"/>
  <c r="B30" i="28"/>
  <c r="B31" i="28" s="1"/>
  <c r="AM29" i="28"/>
  <c r="AD29" i="28"/>
  <c r="U29" i="28"/>
  <c r="M29" i="28"/>
  <c r="H29" i="28"/>
  <c r="G29" i="28"/>
  <c r="F29" i="28"/>
  <c r="F31" i="28" s="1"/>
  <c r="E29" i="28"/>
  <c r="E31" i="28" s="1"/>
  <c r="D29" i="28"/>
  <c r="C29" i="28"/>
  <c r="B29" i="28"/>
  <c r="AQ28" i="28"/>
  <c r="AP28" i="28"/>
  <c r="AO28" i="28"/>
  <c r="AN28" i="28"/>
  <c r="AM28" i="28"/>
  <c r="AL28" i="28"/>
  <c r="AK28" i="28"/>
  <c r="AH28" i="28"/>
  <c r="AG28" i="28"/>
  <c r="AF28" i="28"/>
  <c r="AE28" i="28"/>
  <c r="AC28" i="28"/>
  <c r="AB28" i="28"/>
  <c r="Y28" i="28"/>
  <c r="X28" i="28"/>
  <c r="W28" i="28"/>
  <c r="V28" i="28"/>
  <c r="T28" i="28"/>
  <c r="S28" i="28"/>
  <c r="Q28" i="28"/>
  <c r="P28" i="28"/>
  <c r="O28" i="28"/>
  <c r="N28" i="28"/>
  <c r="L28" i="28"/>
  <c r="K28" i="28"/>
  <c r="H28" i="28"/>
  <c r="AD27" i="28"/>
  <c r="AD28" i="28" s="1"/>
  <c r="U27" i="28"/>
  <c r="U28" i="28" s="1"/>
  <c r="M27" i="28"/>
  <c r="M28" i="28" s="1"/>
  <c r="H27" i="28"/>
  <c r="G27" i="28"/>
  <c r="F27" i="28"/>
  <c r="E27" i="28"/>
  <c r="E28" i="28" s="1"/>
  <c r="C27" i="28"/>
  <c r="C28" i="28" s="1"/>
  <c r="B27" i="28"/>
  <c r="B28" i="28" s="1"/>
  <c r="AM26" i="28"/>
  <c r="AD26" i="28"/>
  <c r="U26" i="28"/>
  <c r="M26" i="28"/>
  <c r="H26" i="28"/>
  <c r="G26" i="28"/>
  <c r="G28" i="28" s="1"/>
  <c r="F26" i="28"/>
  <c r="F28" i="28" s="1"/>
  <c r="E26" i="28"/>
  <c r="D26" i="28"/>
  <c r="C26" i="28"/>
  <c r="B26" i="28"/>
  <c r="AQ25" i="28"/>
  <c r="AP25" i="28"/>
  <c r="AO25" i="28"/>
  <c r="AN25" i="28"/>
  <c r="AM25" i="28"/>
  <c r="AL25" i="28"/>
  <c r="AK25" i="28"/>
  <c r="AH25" i="28"/>
  <c r="AG25" i="28"/>
  <c r="AF25" i="28"/>
  <c r="AE25" i="28"/>
  <c r="AC25" i="28"/>
  <c r="AB25" i="28"/>
  <c r="Y25" i="28"/>
  <c r="X25" i="28"/>
  <c r="W25" i="28"/>
  <c r="V25" i="28"/>
  <c r="U25" i="28"/>
  <c r="T25" i="28"/>
  <c r="S25" i="28"/>
  <c r="Q25" i="28"/>
  <c r="P25" i="28"/>
  <c r="O25" i="28"/>
  <c r="N25" i="28"/>
  <c r="L25" i="28"/>
  <c r="K25" i="28"/>
  <c r="H25" i="28"/>
  <c r="B25" i="28"/>
  <c r="AM24" i="28"/>
  <c r="AD24" i="28"/>
  <c r="AD25" i="28" s="1"/>
  <c r="U24" i="28"/>
  <c r="M24" i="28"/>
  <c r="M25" i="28" s="1"/>
  <c r="H24" i="28"/>
  <c r="G24" i="28"/>
  <c r="F24" i="28"/>
  <c r="E24" i="28"/>
  <c r="E25" i="28" s="1"/>
  <c r="D24" i="28"/>
  <c r="D25" i="28" s="1"/>
  <c r="C24" i="28"/>
  <c r="C25" i="28" s="1"/>
  <c r="B24" i="28"/>
  <c r="AM23" i="28"/>
  <c r="AD23" i="28"/>
  <c r="U23" i="28"/>
  <c r="M23" i="28"/>
  <c r="H23" i="28"/>
  <c r="G23" i="28"/>
  <c r="G25" i="28" s="1"/>
  <c r="F23" i="28"/>
  <c r="F25" i="28" s="1"/>
  <c r="E23" i="28"/>
  <c r="D23" i="28"/>
  <c r="C23" i="28"/>
  <c r="B23" i="28"/>
  <c r="AP22" i="28"/>
  <c r="AO22" i="28"/>
  <c r="AN22" i="28"/>
  <c r="AF22" i="28"/>
  <c r="AE22" i="28"/>
  <c r="V22" i="28"/>
  <c r="T22" i="28"/>
  <c r="L22" i="28"/>
  <c r="K22" i="28"/>
  <c r="AQ21" i="28"/>
  <c r="AQ10" i="28" s="1"/>
  <c r="AQ11" i="28" s="1"/>
  <c r="AP21" i="28"/>
  <c r="AP10" i="28" s="1"/>
  <c r="AP11" i="28" s="1"/>
  <c r="AO21" i="28"/>
  <c r="AO10" i="28" s="1"/>
  <c r="AO11" i="28" s="1"/>
  <c r="AN21" i="28"/>
  <c r="AM21" i="28" s="1"/>
  <c r="AL21" i="28"/>
  <c r="AK21" i="28"/>
  <c r="B21" i="28" s="1"/>
  <c r="B22" i="28" s="1"/>
  <c r="AH21" i="28"/>
  <c r="AH10" i="28" s="1"/>
  <c r="AG21" i="28"/>
  <c r="AG10" i="28" s="1"/>
  <c r="AG11" i="28" s="1"/>
  <c r="AF21" i="28"/>
  <c r="AF10" i="28" s="1"/>
  <c r="AF11" i="28" s="1"/>
  <c r="AE21" i="28"/>
  <c r="AD21" i="28" s="1"/>
  <c r="AD22" i="28" s="1"/>
  <c r="AC21" i="28"/>
  <c r="AB21" i="28"/>
  <c r="Y21" i="28"/>
  <c r="Y22" i="28" s="1"/>
  <c r="X21" i="28"/>
  <c r="X10" i="28" s="1"/>
  <c r="W21" i="28"/>
  <c r="W10" i="28" s="1"/>
  <c r="W11" i="28" s="1"/>
  <c r="V21" i="28"/>
  <c r="U21" i="28" s="1"/>
  <c r="T21" i="28"/>
  <c r="S21" i="28"/>
  <c r="Q21" i="28"/>
  <c r="H21" i="28" s="1"/>
  <c r="P21" i="28"/>
  <c r="P22" i="28" s="1"/>
  <c r="O21" i="28"/>
  <c r="O10" i="28" s="1"/>
  <c r="N21" i="28"/>
  <c r="N10" i="28" s="1"/>
  <c r="L21" i="28"/>
  <c r="L10" i="28" s="1"/>
  <c r="K21" i="28"/>
  <c r="C21" i="28"/>
  <c r="AQ20" i="28"/>
  <c r="AP20" i="28"/>
  <c r="AO20" i="28"/>
  <c r="AN20" i="28"/>
  <c r="E20" i="28" s="1"/>
  <c r="AM20" i="28"/>
  <c r="AL20" i="28"/>
  <c r="AL22" i="28" s="1"/>
  <c r="AK20" i="28"/>
  <c r="AK9" i="28" s="1"/>
  <c r="AK11" i="28" s="1"/>
  <c r="AH20" i="28"/>
  <c r="AH9" i="28" s="1"/>
  <c r="AG20" i="28"/>
  <c r="AF20" i="28"/>
  <c r="AE20" i="28"/>
  <c r="AD20" i="28"/>
  <c r="AC20" i="28"/>
  <c r="AC22" i="28" s="1"/>
  <c r="AB20" i="28"/>
  <c r="AB22" i="28" s="1"/>
  <c r="Y20" i="28"/>
  <c r="Y9" i="28" s="1"/>
  <c r="Y11" i="28" s="1"/>
  <c r="X20" i="28"/>
  <c r="X9" i="28" s="1"/>
  <c r="U9" i="28" s="1"/>
  <c r="W20" i="28"/>
  <c r="V20" i="28"/>
  <c r="T20" i="28"/>
  <c r="S20" i="28"/>
  <c r="S22" i="28" s="1"/>
  <c r="Q20" i="28"/>
  <c r="Q22" i="28" s="1"/>
  <c r="P20" i="28"/>
  <c r="P9" i="28" s="1"/>
  <c r="O20" i="28"/>
  <c r="O9" i="28" s="1"/>
  <c r="N20" i="28"/>
  <c r="M20" i="28" s="1"/>
  <c r="L20" i="28"/>
  <c r="C20" i="28" s="1"/>
  <c r="C22" i="28" s="1"/>
  <c r="K20" i="28"/>
  <c r="B20" i="28" s="1"/>
  <c r="G20" i="28"/>
  <c r="F20" i="28"/>
  <c r="AM18" i="28"/>
  <c r="AD18" i="28"/>
  <c r="U18" i="28"/>
  <c r="D18" i="28" s="1"/>
  <c r="M18" i="28"/>
  <c r="H18" i="28"/>
  <c r="G18" i="28"/>
  <c r="F18" i="28"/>
  <c r="E18" i="28"/>
  <c r="C18" i="28"/>
  <c r="B18" i="28"/>
  <c r="AM17" i="28"/>
  <c r="AD17" i="28"/>
  <c r="U17" i="28"/>
  <c r="M17" i="28"/>
  <c r="H17" i="28"/>
  <c r="G17" i="28"/>
  <c r="F17" i="28"/>
  <c r="E17" i="28"/>
  <c r="D17" i="28"/>
  <c r="C17" i="28"/>
  <c r="B17" i="28"/>
  <c r="AM16" i="28"/>
  <c r="AD16" i="28"/>
  <c r="U16" i="28"/>
  <c r="M16" i="28"/>
  <c r="D16" i="28" s="1"/>
  <c r="H16" i="28"/>
  <c r="G16" i="28"/>
  <c r="F16" i="28"/>
  <c r="E16" i="28"/>
  <c r="C16" i="28"/>
  <c r="B16" i="28"/>
  <c r="AQ15" i="28"/>
  <c r="AP15" i="28"/>
  <c r="AO15" i="28"/>
  <c r="AN15" i="28"/>
  <c r="AL15" i="28"/>
  <c r="AK15" i="28"/>
  <c r="AH15" i="28"/>
  <c r="AG15" i="28"/>
  <c r="AF15" i="28"/>
  <c r="AE15" i="28"/>
  <c r="AC15" i="28"/>
  <c r="AB15" i="28"/>
  <c r="Y15" i="28"/>
  <c r="X15" i="28"/>
  <c r="W15" i="28"/>
  <c r="V15" i="28"/>
  <c r="T15" i="28"/>
  <c r="S15" i="28"/>
  <c r="Q15" i="28"/>
  <c r="P15" i="28"/>
  <c r="O15" i="28"/>
  <c r="N15" i="28"/>
  <c r="L15" i="28"/>
  <c r="K15" i="28"/>
  <c r="E15" i="28"/>
  <c r="C15" i="28"/>
  <c r="AM14" i="28"/>
  <c r="AM15" i="28" s="1"/>
  <c r="AD14" i="28"/>
  <c r="U14" i="28"/>
  <c r="M14" i="28"/>
  <c r="M10" i="28" s="1"/>
  <c r="H14" i="28"/>
  <c r="H15" i="28" s="1"/>
  <c r="G14" i="28"/>
  <c r="G15" i="28" s="1"/>
  <c r="F14" i="28"/>
  <c r="F15" i="28" s="1"/>
  <c r="E14" i="28"/>
  <c r="D14" i="28"/>
  <c r="C14" i="28"/>
  <c r="B14" i="28"/>
  <c r="AM13" i="28"/>
  <c r="AD13" i="28"/>
  <c r="AD15" i="28" s="1"/>
  <c r="U13" i="28"/>
  <c r="U15" i="28" s="1"/>
  <c r="M13" i="28"/>
  <c r="D13" i="28" s="1"/>
  <c r="D15" i="28" s="1"/>
  <c r="H13" i="28"/>
  <c r="G13" i="28"/>
  <c r="F13" i="28"/>
  <c r="E13" i="28"/>
  <c r="C13" i="28"/>
  <c r="B13" i="28"/>
  <c r="B15" i="28" s="1"/>
  <c r="AN10" i="28"/>
  <c r="AN11" i="28" s="1"/>
  <c r="AL10" i="28"/>
  <c r="AK10" i="28"/>
  <c r="AC10" i="28"/>
  <c r="AB10" i="28"/>
  <c r="Y10" i="28"/>
  <c r="T10" i="28"/>
  <c r="T11" i="28" s="1"/>
  <c r="S10" i="28"/>
  <c r="Q10" i="28"/>
  <c r="P10" i="28"/>
  <c r="K10" i="28"/>
  <c r="K11" i="28" s="1"/>
  <c r="AQ9" i="28"/>
  <c r="AP9" i="28"/>
  <c r="AO9" i="28"/>
  <c r="AN9" i="28"/>
  <c r="AM9" i="28" s="1"/>
  <c r="AG9" i="28"/>
  <c r="AF9" i="28"/>
  <c r="AE9" i="28"/>
  <c r="W9" i="28"/>
  <c r="V9" i="28"/>
  <c r="T9" i="28"/>
  <c r="N9" i="28"/>
  <c r="E9" i="28" s="1"/>
  <c r="L9" i="28"/>
  <c r="K9" i="28"/>
  <c r="AB11" i="28" l="1"/>
  <c r="M9" i="28"/>
  <c r="D9" i="28" s="1"/>
  <c r="F9" i="28"/>
  <c r="AC11" i="28"/>
  <c r="G9" i="28"/>
  <c r="P11" i="28"/>
  <c r="L11" i="28"/>
  <c r="C10" i="28"/>
  <c r="AH11" i="28"/>
  <c r="N11" i="28"/>
  <c r="AD9" i="28"/>
  <c r="X11" i="28"/>
  <c r="G10" i="28"/>
  <c r="D21" i="28"/>
  <c r="M22" i="28"/>
  <c r="F10" i="28"/>
  <c r="F11" i="28" s="1"/>
  <c r="O11" i="28"/>
  <c r="Q11" i="28"/>
  <c r="AM22" i="28"/>
  <c r="AM10" i="28"/>
  <c r="AM11" i="28" s="1"/>
  <c r="H22" i="28"/>
  <c r="N22" i="28"/>
  <c r="W22" i="28"/>
  <c r="U31" i="28"/>
  <c r="D33" i="28"/>
  <c r="D34" i="28" s="1"/>
  <c r="D36" i="28"/>
  <c r="D37" i="28" s="1"/>
  <c r="E21" i="28"/>
  <c r="E22" i="28" s="1"/>
  <c r="F21" i="28"/>
  <c r="F22" i="28" s="1"/>
  <c r="D27" i="28"/>
  <c r="D28" i="28" s="1"/>
  <c r="AM37" i="28"/>
  <c r="AE10" i="28"/>
  <c r="U20" i="28"/>
  <c r="U22" i="28" s="1"/>
  <c r="G21" i="28"/>
  <c r="G22" i="28" s="1"/>
  <c r="AQ22" i="28"/>
  <c r="V10" i="28"/>
  <c r="E10" i="28" s="1"/>
  <c r="E11" i="28" s="1"/>
  <c r="O22" i="28"/>
  <c r="X22" i="28"/>
  <c r="AH22" i="28"/>
  <c r="M34" i="28"/>
  <c r="D39" i="28"/>
  <c r="D40" i="28" s="1"/>
  <c r="M15" i="28"/>
  <c r="H10" i="28"/>
  <c r="H11" i="28" s="1"/>
  <c r="H20" i="28"/>
  <c r="B10" i="28"/>
  <c r="AG22" i="28"/>
  <c r="Q9" i="28"/>
  <c r="H9" i="28" s="1"/>
  <c r="AB9" i="28"/>
  <c r="AL9" i="28"/>
  <c r="C9" i="28" s="1"/>
  <c r="AK22" i="28"/>
  <c r="S9" i="28"/>
  <c r="B9" i="28" s="1"/>
  <c r="AC9" i="28"/>
  <c r="C11" i="28" l="1"/>
  <c r="M11" i="28"/>
  <c r="AL11" i="28"/>
  <c r="D20" i="28"/>
  <c r="D22" i="28" s="1"/>
  <c r="AE11" i="28"/>
  <c r="AD10" i="28"/>
  <c r="AD11" i="28" s="1"/>
  <c r="B11" i="28"/>
  <c r="S11" i="28"/>
  <c r="G11" i="28"/>
  <c r="V11" i="28"/>
  <c r="U10" i="28"/>
  <c r="U11" i="28" l="1"/>
  <c r="D10" i="28"/>
  <c r="D11" i="28" s="1"/>
  <c r="AQ40" i="5" l="1"/>
  <c r="AP40" i="5"/>
  <c r="AO40" i="5"/>
  <c r="AN40" i="5"/>
  <c r="AL40" i="5"/>
  <c r="AK40" i="5"/>
  <c r="AH40" i="5"/>
  <c r="AG40" i="5"/>
  <c r="AF40" i="5"/>
  <c r="AE40" i="5"/>
  <c r="AC40" i="5"/>
  <c r="AB40" i="5"/>
  <c r="Y40" i="5"/>
  <c r="X40" i="5"/>
  <c r="W40" i="5"/>
  <c r="V40" i="5"/>
  <c r="T40" i="5"/>
  <c r="S40" i="5"/>
  <c r="Q40" i="5"/>
  <c r="P40" i="5"/>
  <c r="O40" i="5"/>
  <c r="N40" i="5"/>
  <c r="L40" i="5"/>
  <c r="K40" i="5"/>
  <c r="G40" i="5"/>
  <c r="F40" i="5"/>
  <c r="E40" i="5"/>
  <c r="AM39" i="5"/>
  <c r="AM40" i="5" s="1"/>
  <c r="AD39" i="5"/>
  <c r="U39" i="5"/>
  <c r="U40" i="5" s="1"/>
  <c r="M39" i="5"/>
  <c r="M40" i="5" s="1"/>
  <c r="H39" i="5"/>
  <c r="D39" i="5" s="1"/>
  <c r="D40" i="5" s="1"/>
  <c r="G39" i="5"/>
  <c r="F39" i="5"/>
  <c r="E39" i="5"/>
  <c r="C39" i="5"/>
  <c r="C40" i="5" s="1"/>
  <c r="B39" i="5"/>
  <c r="B40" i="5" s="1"/>
  <c r="AM38" i="5"/>
  <c r="AD38" i="5"/>
  <c r="AD40" i="5" s="1"/>
  <c r="U38" i="5"/>
  <c r="M38" i="5"/>
  <c r="H38" i="5"/>
  <c r="G38" i="5"/>
  <c r="F38" i="5"/>
  <c r="E38" i="5"/>
  <c r="D38" i="5"/>
  <c r="C38" i="5"/>
  <c r="B38" i="5"/>
  <c r="AQ37" i="5"/>
  <c r="AP37" i="5"/>
  <c r="AO37" i="5"/>
  <c r="AN37" i="5"/>
  <c r="AL37" i="5"/>
  <c r="AK37" i="5"/>
  <c r="AH37" i="5"/>
  <c r="AG37" i="5"/>
  <c r="AF37" i="5"/>
  <c r="AE37" i="5"/>
  <c r="AC37" i="5"/>
  <c r="AB37" i="5"/>
  <c r="Y37" i="5"/>
  <c r="X37" i="5"/>
  <c r="W37" i="5"/>
  <c r="V37" i="5"/>
  <c r="T37" i="5"/>
  <c r="S37" i="5"/>
  <c r="Q37" i="5"/>
  <c r="P37" i="5"/>
  <c r="O37" i="5"/>
  <c r="N37" i="5"/>
  <c r="L37" i="5"/>
  <c r="K37" i="5"/>
  <c r="G37" i="5"/>
  <c r="F37" i="5"/>
  <c r="AM36" i="5"/>
  <c r="U36" i="5"/>
  <c r="U37" i="5" s="1"/>
  <c r="M36" i="5"/>
  <c r="M37" i="5" s="1"/>
  <c r="H36" i="5"/>
  <c r="H37" i="5" s="1"/>
  <c r="G36" i="5"/>
  <c r="F36" i="5"/>
  <c r="E36" i="5"/>
  <c r="E37" i="5" s="1"/>
  <c r="C36" i="5"/>
  <c r="C37" i="5" s="1"/>
  <c r="B36" i="5"/>
  <c r="B37" i="5" s="1"/>
  <c r="AM35" i="5"/>
  <c r="AM37" i="5" s="1"/>
  <c r="AD35" i="5"/>
  <c r="AD20" i="5" s="1"/>
  <c r="AD9" i="5" s="1"/>
  <c r="U35" i="5"/>
  <c r="M35" i="5"/>
  <c r="H35" i="5"/>
  <c r="G35" i="5"/>
  <c r="F35" i="5"/>
  <c r="E35" i="5"/>
  <c r="D35" i="5"/>
  <c r="C35" i="5"/>
  <c r="C20" i="5" s="1"/>
  <c r="C9" i="5" s="1"/>
  <c r="B35" i="5"/>
  <c r="AQ34" i="5"/>
  <c r="AP34" i="5"/>
  <c r="AO34" i="5"/>
  <c r="AN34" i="5"/>
  <c r="AL34" i="5"/>
  <c r="AK34" i="5"/>
  <c r="AH34" i="5"/>
  <c r="AG34" i="5"/>
  <c r="AF34" i="5"/>
  <c r="AE34" i="5"/>
  <c r="AC34" i="5"/>
  <c r="AB34" i="5"/>
  <c r="Y34" i="5"/>
  <c r="X34" i="5"/>
  <c r="W34" i="5"/>
  <c r="V34" i="5"/>
  <c r="T34" i="5"/>
  <c r="S34" i="5"/>
  <c r="Q34" i="5"/>
  <c r="P34" i="5"/>
  <c r="O34" i="5"/>
  <c r="N34" i="5"/>
  <c r="L34" i="5"/>
  <c r="K34" i="5"/>
  <c r="H34" i="5"/>
  <c r="G34" i="5"/>
  <c r="F34" i="5"/>
  <c r="AM33" i="5"/>
  <c r="AD33" i="5"/>
  <c r="AD34" i="5" s="1"/>
  <c r="U33" i="5"/>
  <c r="U34" i="5" s="1"/>
  <c r="M33" i="5"/>
  <c r="M21" i="5" s="1"/>
  <c r="H33" i="5"/>
  <c r="G33" i="5"/>
  <c r="F33" i="5"/>
  <c r="E33" i="5"/>
  <c r="E34" i="5" s="1"/>
  <c r="C33" i="5"/>
  <c r="C34" i="5" s="1"/>
  <c r="B33" i="5"/>
  <c r="B34" i="5" s="1"/>
  <c r="AM32" i="5"/>
  <c r="AM34" i="5" s="1"/>
  <c r="AD32" i="5"/>
  <c r="U32" i="5"/>
  <c r="M32" i="5"/>
  <c r="H32" i="5"/>
  <c r="G32" i="5"/>
  <c r="F32" i="5"/>
  <c r="E32" i="5"/>
  <c r="D32" i="5"/>
  <c r="C32" i="5"/>
  <c r="B32" i="5"/>
  <c r="AQ31" i="5"/>
  <c r="AP31" i="5"/>
  <c r="AO31" i="5"/>
  <c r="AN31" i="5"/>
  <c r="AM31" i="5"/>
  <c r="AL31" i="5"/>
  <c r="AK31" i="5"/>
  <c r="AH31" i="5"/>
  <c r="AG31" i="5"/>
  <c r="AF31" i="5"/>
  <c r="AE31" i="5"/>
  <c r="AC31" i="5"/>
  <c r="AB31" i="5"/>
  <c r="Y31" i="5"/>
  <c r="X31" i="5"/>
  <c r="W31" i="5"/>
  <c r="V31" i="5"/>
  <c r="T31" i="5"/>
  <c r="S31" i="5"/>
  <c r="Q31" i="5"/>
  <c r="P31" i="5"/>
  <c r="O31" i="5"/>
  <c r="N31" i="5"/>
  <c r="L31" i="5"/>
  <c r="K31" i="5"/>
  <c r="H31" i="5"/>
  <c r="G31" i="5"/>
  <c r="AM30" i="5"/>
  <c r="AD30" i="5"/>
  <c r="AD31" i="5" s="1"/>
  <c r="U30" i="5"/>
  <c r="U31" i="5" s="1"/>
  <c r="M30" i="5"/>
  <c r="H30" i="5"/>
  <c r="G30" i="5"/>
  <c r="F30" i="5"/>
  <c r="F31" i="5" s="1"/>
  <c r="E30" i="5"/>
  <c r="E31" i="5" s="1"/>
  <c r="D30" i="5"/>
  <c r="C30" i="5"/>
  <c r="C31" i="5" s="1"/>
  <c r="B30" i="5"/>
  <c r="B31" i="5" s="1"/>
  <c r="AM29" i="5"/>
  <c r="AD29" i="5"/>
  <c r="U29" i="5"/>
  <c r="M29" i="5"/>
  <c r="M31" i="5" s="1"/>
  <c r="H29" i="5"/>
  <c r="G29" i="5"/>
  <c r="F29" i="5"/>
  <c r="E29" i="5"/>
  <c r="D29" i="5" s="1"/>
  <c r="C29" i="5"/>
  <c r="B29" i="5"/>
  <c r="AQ28" i="5"/>
  <c r="AP28" i="5"/>
  <c r="AO28" i="5"/>
  <c r="AN28" i="5"/>
  <c r="AM28" i="5"/>
  <c r="AL28" i="5"/>
  <c r="AK28" i="5"/>
  <c r="AH28" i="5"/>
  <c r="AG28" i="5"/>
  <c r="AF28" i="5"/>
  <c r="AE28" i="5"/>
  <c r="AC28" i="5"/>
  <c r="AB28" i="5"/>
  <c r="Y28" i="5"/>
  <c r="X28" i="5"/>
  <c r="W28" i="5"/>
  <c r="V28" i="5"/>
  <c r="T28" i="5"/>
  <c r="S28" i="5"/>
  <c r="P28" i="5"/>
  <c r="O28" i="5"/>
  <c r="N28" i="5"/>
  <c r="L28" i="5"/>
  <c r="K28" i="5"/>
  <c r="H28" i="5"/>
  <c r="G28" i="5"/>
  <c r="AM27" i="5"/>
  <c r="AD27" i="5"/>
  <c r="AD28" i="5" s="1"/>
  <c r="U27" i="5"/>
  <c r="U28" i="5" s="1"/>
  <c r="M27" i="5"/>
  <c r="M28" i="5" s="1"/>
  <c r="H27" i="5"/>
  <c r="G27" i="5"/>
  <c r="F27" i="5"/>
  <c r="F28" i="5" s="1"/>
  <c r="E27" i="5"/>
  <c r="E28" i="5" s="1"/>
  <c r="D27" i="5"/>
  <c r="C27" i="5"/>
  <c r="C28" i="5" s="1"/>
  <c r="B27" i="5"/>
  <c r="B21" i="5" s="1"/>
  <c r="AM26" i="5"/>
  <c r="AD26" i="5"/>
  <c r="U26" i="5"/>
  <c r="M26" i="5"/>
  <c r="H26" i="5"/>
  <c r="G26" i="5"/>
  <c r="F26" i="5"/>
  <c r="E26" i="5"/>
  <c r="D26" i="5" s="1"/>
  <c r="C26" i="5"/>
  <c r="B26" i="5"/>
  <c r="AQ25" i="5"/>
  <c r="AP25" i="5"/>
  <c r="AO25" i="5"/>
  <c r="AN25" i="5"/>
  <c r="AM25" i="5"/>
  <c r="AL25" i="5"/>
  <c r="AK25" i="5"/>
  <c r="AH25" i="5"/>
  <c r="AG25" i="5"/>
  <c r="AF25" i="5"/>
  <c r="AE25" i="5"/>
  <c r="AC25" i="5"/>
  <c r="AB25" i="5"/>
  <c r="Y25" i="5"/>
  <c r="X25" i="5"/>
  <c r="W25" i="5"/>
  <c r="V25" i="5"/>
  <c r="U25" i="5"/>
  <c r="T25" i="5"/>
  <c r="S25" i="5"/>
  <c r="Q25" i="5"/>
  <c r="P25" i="5"/>
  <c r="O25" i="5"/>
  <c r="N25" i="5"/>
  <c r="L25" i="5"/>
  <c r="K25" i="5"/>
  <c r="H25" i="5"/>
  <c r="B25" i="5"/>
  <c r="AM24" i="5"/>
  <c r="AD24" i="5"/>
  <c r="AD25" i="5" s="1"/>
  <c r="U24" i="5"/>
  <c r="M24" i="5"/>
  <c r="M25" i="5" s="1"/>
  <c r="H24" i="5"/>
  <c r="G24" i="5"/>
  <c r="G25" i="5" s="1"/>
  <c r="F24" i="5"/>
  <c r="F25" i="5" s="1"/>
  <c r="E24" i="5"/>
  <c r="E25" i="5" s="1"/>
  <c r="D24" i="5"/>
  <c r="C24" i="5"/>
  <c r="C21" i="5" s="1"/>
  <c r="C22" i="5" s="1"/>
  <c r="B24" i="5"/>
  <c r="AM23" i="5"/>
  <c r="AD23" i="5"/>
  <c r="U23" i="5"/>
  <c r="M23" i="5"/>
  <c r="H23" i="5"/>
  <c r="G23" i="5"/>
  <c r="G20" i="5" s="1"/>
  <c r="G9" i="5" s="1"/>
  <c r="F23" i="5"/>
  <c r="D23" i="5" s="1"/>
  <c r="D20" i="5" s="1"/>
  <c r="E23" i="5"/>
  <c r="C23" i="5"/>
  <c r="B23" i="5"/>
  <c r="AP22" i="5"/>
  <c r="AO22" i="5"/>
  <c r="AN22" i="5"/>
  <c r="AF22" i="5"/>
  <c r="AE22" i="5"/>
  <c r="V22" i="5"/>
  <c r="T22" i="5"/>
  <c r="L22" i="5"/>
  <c r="K22" i="5"/>
  <c r="AH21" i="5"/>
  <c r="AH10" i="5" s="1"/>
  <c r="AH11" i="5" s="1"/>
  <c r="AG21" i="5"/>
  <c r="AG22" i="5" s="1"/>
  <c r="AF21" i="5"/>
  <c r="AE21" i="5"/>
  <c r="AC21" i="5"/>
  <c r="AC22" i="5" s="1"/>
  <c r="AB21" i="5"/>
  <c r="AB22" i="5" s="1"/>
  <c r="Y21" i="5"/>
  <c r="Y10" i="5" s="1"/>
  <c r="Y11" i="5" s="1"/>
  <c r="X21" i="5"/>
  <c r="X22" i="5" s="1"/>
  <c r="W21" i="5"/>
  <c r="W22" i="5" s="1"/>
  <c r="V21" i="5"/>
  <c r="T21" i="5"/>
  <c r="S21" i="5"/>
  <c r="S22" i="5" s="1"/>
  <c r="Q21" i="5"/>
  <c r="Q22" i="5" s="1"/>
  <c r="P21" i="5"/>
  <c r="P22" i="5" s="1"/>
  <c r="O21" i="5"/>
  <c r="O22" i="5" s="1"/>
  <c r="N21" i="5"/>
  <c r="N22" i="5" s="1"/>
  <c r="L21" i="5"/>
  <c r="K21" i="5"/>
  <c r="G21" i="5"/>
  <c r="G22" i="5" s="1"/>
  <c r="F21" i="5"/>
  <c r="F10" i="5" s="1"/>
  <c r="E21" i="5"/>
  <c r="E10" i="5" s="1"/>
  <c r="AQ20" i="5"/>
  <c r="AQ22" i="5" s="1"/>
  <c r="AP20" i="5"/>
  <c r="AO20" i="5"/>
  <c r="AO9" i="5" s="1"/>
  <c r="AO11" i="5" s="1"/>
  <c r="AN20" i="5"/>
  <c r="AN9" i="5" s="1"/>
  <c r="AN11" i="5" s="1"/>
  <c r="AM20" i="5"/>
  <c r="AM22" i="5" s="1"/>
  <c r="AL20" i="5"/>
  <c r="AL22" i="5" s="1"/>
  <c r="AK20" i="5"/>
  <c r="AK22" i="5" s="1"/>
  <c r="AH20" i="5"/>
  <c r="AG20" i="5"/>
  <c r="AF20" i="5"/>
  <c r="AE20" i="5"/>
  <c r="AE9" i="5" s="1"/>
  <c r="AE11" i="5" s="1"/>
  <c r="AC20" i="5"/>
  <c r="AC9" i="5" s="1"/>
  <c r="AB20" i="5"/>
  <c r="Y20" i="5"/>
  <c r="X20" i="5"/>
  <c r="W20" i="5"/>
  <c r="V20" i="5"/>
  <c r="U20" i="5"/>
  <c r="U9" i="5" s="1"/>
  <c r="T20" i="5"/>
  <c r="T9" i="5" s="1"/>
  <c r="T11" i="5" s="1"/>
  <c r="S20" i="5"/>
  <c r="S9" i="5" s="1"/>
  <c r="Q20" i="5"/>
  <c r="P20" i="5"/>
  <c r="O20" i="5"/>
  <c r="N20" i="5"/>
  <c r="M20" i="5"/>
  <c r="L20" i="5"/>
  <c r="L9" i="5" s="1"/>
  <c r="L11" i="5" s="1"/>
  <c r="K20" i="5"/>
  <c r="K9" i="5" s="1"/>
  <c r="K11" i="5" s="1"/>
  <c r="H20" i="5"/>
  <c r="H9" i="5" s="1"/>
  <c r="B20" i="5"/>
  <c r="B9" i="5" s="1"/>
  <c r="AM18" i="5"/>
  <c r="AD18" i="5"/>
  <c r="U18" i="5"/>
  <c r="M18" i="5"/>
  <c r="D18" i="5"/>
  <c r="AM17" i="5"/>
  <c r="AD17" i="5"/>
  <c r="U17" i="5"/>
  <c r="M17" i="5"/>
  <c r="D17" i="5"/>
  <c r="AM16" i="5"/>
  <c r="AD16" i="5"/>
  <c r="U16" i="5"/>
  <c r="M16" i="5"/>
  <c r="D16" i="5"/>
  <c r="AQ15" i="5"/>
  <c r="AP15" i="5"/>
  <c r="AO15" i="5"/>
  <c r="AN15" i="5"/>
  <c r="AL15" i="5"/>
  <c r="AK15" i="5"/>
  <c r="AH15" i="5"/>
  <c r="AG15" i="5"/>
  <c r="AF15" i="5"/>
  <c r="AE15" i="5"/>
  <c r="AC15" i="5"/>
  <c r="AB15" i="5"/>
  <c r="Y15" i="5"/>
  <c r="X15" i="5"/>
  <c r="W15" i="5"/>
  <c r="V15" i="5"/>
  <c r="U15" i="5"/>
  <c r="T15" i="5"/>
  <c r="S15" i="5"/>
  <c r="Q15" i="5"/>
  <c r="P15" i="5"/>
  <c r="O15" i="5"/>
  <c r="N15" i="5"/>
  <c r="M15" i="5"/>
  <c r="L15" i="5"/>
  <c r="K15" i="5"/>
  <c r="B15" i="5"/>
  <c r="AM14" i="5"/>
  <c r="AM15" i="5" s="1"/>
  <c r="AD14" i="5"/>
  <c r="AD15" i="5" s="1"/>
  <c r="H14" i="5"/>
  <c r="H15" i="5" s="1"/>
  <c r="G14" i="5"/>
  <c r="G15" i="5" s="1"/>
  <c r="F14" i="5"/>
  <c r="F15" i="5" s="1"/>
  <c r="E14" i="5"/>
  <c r="E15" i="5" s="1"/>
  <c r="D14" i="5"/>
  <c r="C14" i="5"/>
  <c r="C10" i="5" s="1"/>
  <c r="C11" i="5" s="1"/>
  <c r="B14" i="5"/>
  <c r="AM13" i="5"/>
  <c r="AD13" i="5"/>
  <c r="U13" i="5"/>
  <c r="M13" i="5"/>
  <c r="H13" i="5"/>
  <c r="G13" i="5"/>
  <c r="F13" i="5"/>
  <c r="E13" i="5"/>
  <c r="D13" i="5" s="1"/>
  <c r="C13" i="5"/>
  <c r="B13" i="5"/>
  <c r="AP11" i="5"/>
  <c r="AF11" i="5"/>
  <c r="V11" i="5"/>
  <c r="AQ10" i="5"/>
  <c r="AQ11" i="5" s="1"/>
  <c r="AP10" i="5"/>
  <c r="AO10" i="5"/>
  <c r="AN10" i="5"/>
  <c r="AM10" i="5"/>
  <c r="AL10" i="5"/>
  <c r="AL11" i="5" s="1"/>
  <c r="AK10" i="5"/>
  <c r="AK11" i="5" s="1"/>
  <c r="AG10" i="5"/>
  <c r="AG11" i="5" s="1"/>
  <c r="AF10" i="5"/>
  <c r="AE10" i="5"/>
  <c r="AC10" i="5"/>
  <c r="W10" i="5"/>
  <c r="W11" i="5" s="1"/>
  <c r="V10" i="5"/>
  <c r="T10" i="5"/>
  <c r="S10" i="5"/>
  <c r="S11" i="5" s="1"/>
  <c r="N10" i="5"/>
  <c r="N11" i="5" s="1"/>
  <c r="L10" i="5"/>
  <c r="K10" i="5"/>
  <c r="AQ9" i="5"/>
  <c r="AP9" i="5"/>
  <c r="AL9" i="5"/>
  <c r="AK9" i="5"/>
  <c r="AH9" i="5"/>
  <c r="AG9" i="5"/>
  <c r="AF9" i="5"/>
  <c r="AB9" i="5"/>
  <c r="Y9" i="5"/>
  <c r="X9" i="5"/>
  <c r="W9" i="5"/>
  <c r="V9" i="5"/>
  <c r="Q9" i="5"/>
  <c r="P9" i="5"/>
  <c r="O9" i="5"/>
  <c r="N9" i="5"/>
  <c r="M9" i="5"/>
  <c r="M10" i="5" l="1"/>
  <c r="M11" i="5" s="1"/>
  <c r="M22" i="5"/>
  <c r="AC11" i="5"/>
  <c r="D9" i="5"/>
  <c r="E11" i="5"/>
  <c r="B22" i="5"/>
  <c r="B10" i="5"/>
  <c r="B11" i="5" s="1"/>
  <c r="D15" i="5"/>
  <c r="D31" i="5"/>
  <c r="D28" i="5"/>
  <c r="O10" i="5"/>
  <c r="O11" i="5" s="1"/>
  <c r="C15" i="5"/>
  <c r="G10" i="5"/>
  <c r="G11" i="5" s="1"/>
  <c r="Q10" i="5"/>
  <c r="Q11" i="5" s="1"/>
  <c r="AB10" i="5"/>
  <c r="AB11" i="5" s="1"/>
  <c r="H21" i="5"/>
  <c r="C25" i="5"/>
  <c r="B28" i="5"/>
  <c r="D33" i="5"/>
  <c r="D34" i="5" s="1"/>
  <c r="AD37" i="5"/>
  <c r="H40" i="5"/>
  <c r="X10" i="5"/>
  <c r="X11" i="5" s="1"/>
  <c r="P10" i="5"/>
  <c r="P11" i="5" s="1"/>
  <c r="AD21" i="5"/>
  <c r="E22" i="5"/>
  <c r="AH22" i="5"/>
  <c r="D25" i="5"/>
  <c r="D36" i="5"/>
  <c r="D37" i="5" s="1"/>
  <c r="E20" i="5"/>
  <c r="E9" i="5" s="1"/>
  <c r="U21" i="5"/>
  <c r="Y22" i="5"/>
  <c r="M34" i="5"/>
  <c r="F20" i="5"/>
  <c r="F22" i="5" s="1"/>
  <c r="AM9" i="5"/>
  <c r="AM11" i="5" s="1"/>
  <c r="AD10" i="5" l="1"/>
  <c r="AD11" i="5" s="1"/>
  <c r="AD22" i="5"/>
  <c r="F9" i="5"/>
  <c r="F11" i="5" s="1"/>
  <c r="H22" i="5"/>
  <c r="H10" i="5"/>
  <c r="H11" i="5" s="1"/>
  <c r="D21" i="5"/>
  <c r="U10" i="5"/>
  <c r="U11" i="5" s="1"/>
  <c r="U22" i="5"/>
  <c r="D10" i="5" l="1"/>
  <c r="D11" i="5" s="1"/>
  <c r="D22" i="5"/>
  <c r="AK40" i="9" l="1"/>
  <c r="AG40" i="9"/>
  <c r="AF40" i="9"/>
  <c r="Y40" i="9"/>
  <c r="W40" i="9"/>
  <c r="V40" i="9"/>
  <c r="P40" i="9"/>
  <c r="N40" i="9"/>
  <c r="AQ39" i="9"/>
  <c r="AQ40" i="9" s="1"/>
  <c r="AP39" i="9"/>
  <c r="AP40" i="9" s="1"/>
  <c r="AO39" i="9"/>
  <c r="AO40" i="9" s="1"/>
  <c r="AN39" i="9"/>
  <c r="AN21" i="9" s="1"/>
  <c r="AL39" i="9"/>
  <c r="C39" i="9" s="1"/>
  <c r="C40" i="9" s="1"/>
  <c r="AK39" i="9"/>
  <c r="B39" i="9" s="1"/>
  <c r="B40" i="9" s="1"/>
  <c r="AH39" i="9"/>
  <c r="AH40" i="9" s="1"/>
  <c r="AE39" i="9"/>
  <c r="AE40" i="9" s="1"/>
  <c r="AC39" i="9"/>
  <c r="AC40" i="9" s="1"/>
  <c r="AB39" i="9"/>
  <c r="AB21" i="9" s="1"/>
  <c r="Y39" i="9"/>
  <c r="X39" i="9"/>
  <c r="G39" i="9" s="1"/>
  <c r="G40" i="9" s="1"/>
  <c r="W39" i="9"/>
  <c r="U39" i="9" s="1"/>
  <c r="U40" i="9" s="1"/>
  <c r="V39" i="9"/>
  <c r="T39" i="9"/>
  <c r="T40" i="9" s="1"/>
  <c r="S39" i="9"/>
  <c r="S40" i="9" s="1"/>
  <c r="Q39" i="9"/>
  <c r="Q21" i="9" s="1"/>
  <c r="P39" i="9"/>
  <c r="O39" i="9"/>
  <c r="O21" i="9" s="1"/>
  <c r="N39" i="9"/>
  <c r="M39" i="9" s="1"/>
  <c r="L39" i="9"/>
  <c r="L40" i="9" s="1"/>
  <c r="K39" i="9"/>
  <c r="K40" i="9" s="1"/>
  <c r="E39" i="9"/>
  <c r="E40" i="9" s="1"/>
  <c r="AM38" i="9"/>
  <c r="AD38" i="9"/>
  <c r="U38" i="9"/>
  <c r="D38" i="9" s="1"/>
  <c r="M38" i="9"/>
  <c r="H38" i="9"/>
  <c r="H20" i="9" s="1"/>
  <c r="H9" i="9" s="1"/>
  <c r="G38" i="9"/>
  <c r="F38" i="9"/>
  <c r="E38" i="9"/>
  <c r="C38" i="9"/>
  <c r="B38" i="9"/>
  <c r="AQ37" i="9"/>
  <c r="AP37" i="9"/>
  <c r="AO37" i="9"/>
  <c r="AL37" i="9"/>
  <c r="AK37" i="9"/>
  <c r="X37" i="9"/>
  <c r="V37" i="9"/>
  <c r="S37" i="9"/>
  <c r="P37" i="9"/>
  <c r="O37" i="9"/>
  <c r="N37" i="9"/>
  <c r="L37" i="9"/>
  <c r="C37" i="9"/>
  <c r="AM36" i="9"/>
  <c r="AM37" i="9" s="1"/>
  <c r="AD36" i="9"/>
  <c r="Y36" i="9"/>
  <c r="Y37" i="9" s="1"/>
  <c r="X36" i="9"/>
  <c r="W36" i="9"/>
  <c r="F36" i="9" s="1"/>
  <c r="F37" i="9" s="1"/>
  <c r="V36" i="9"/>
  <c r="E36" i="9" s="1"/>
  <c r="E37" i="9" s="1"/>
  <c r="U36" i="9"/>
  <c r="U37" i="9" s="1"/>
  <c r="T36" i="9"/>
  <c r="T37" i="9" s="1"/>
  <c r="S36" i="9"/>
  <c r="Q36" i="9"/>
  <c r="Q37" i="9" s="1"/>
  <c r="L36" i="9"/>
  <c r="K36" i="9"/>
  <c r="K37" i="9" s="1"/>
  <c r="H36" i="9"/>
  <c r="H37" i="9" s="1"/>
  <c r="G36" i="9"/>
  <c r="G37" i="9" s="1"/>
  <c r="C36" i="9"/>
  <c r="AM35" i="9"/>
  <c r="AD35" i="9"/>
  <c r="U35" i="9"/>
  <c r="D35" i="9" s="1"/>
  <c r="M35" i="9"/>
  <c r="H35" i="9"/>
  <c r="G35" i="9"/>
  <c r="F35" i="9"/>
  <c r="E35" i="9"/>
  <c r="C35" i="9"/>
  <c r="B35" i="9"/>
  <c r="B20" i="9" s="1"/>
  <c r="B9" i="9" s="1"/>
  <c r="H33" i="9"/>
  <c r="G33" i="9"/>
  <c r="F33" i="9"/>
  <c r="E33" i="9"/>
  <c r="D33" i="9"/>
  <c r="C33" i="9"/>
  <c r="B33" i="9"/>
  <c r="AM32" i="9"/>
  <c r="AD32" i="9"/>
  <c r="U32" i="9"/>
  <c r="M32" i="9"/>
  <c r="H32" i="9"/>
  <c r="G32" i="9"/>
  <c r="F32" i="9"/>
  <c r="E32" i="9"/>
  <c r="D32" i="9"/>
  <c r="C32" i="9"/>
  <c r="B32" i="9"/>
  <c r="AQ31" i="9"/>
  <c r="AO31" i="9"/>
  <c r="AL31" i="9"/>
  <c r="AK31" i="9"/>
  <c r="AH31" i="9"/>
  <c r="AG31" i="9"/>
  <c r="AF31" i="9"/>
  <c r="AE31" i="9"/>
  <c r="AC31" i="9"/>
  <c r="AB31" i="9"/>
  <c r="X31" i="9"/>
  <c r="Q31" i="9"/>
  <c r="P31" i="9"/>
  <c r="O31" i="9"/>
  <c r="N31" i="9"/>
  <c r="E31" i="9"/>
  <c r="AM30" i="9"/>
  <c r="AM31" i="9" s="1"/>
  <c r="AD30" i="9"/>
  <c r="AD31" i="9" s="1"/>
  <c r="Y30" i="9"/>
  <c r="Y31" i="9" s="1"/>
  <c r="X30" i="9"/>
  <c r="G30" i="9" s="1"/>
  <c r="G31" i="9" s="1"/>
  <c r="W30" i="9"/>
  <c r="W31" i="9" s="1"/>
  <c r="V30" i="9"/>
  <c r="V31" i="9" s="1"/>
  <c r="T30" i="9"/>
  <c r="T31" i="9" s="1"/>
  <c r="S30" i="9"/>
  <c r="S31" i="9" s="1"/>
  <c r="Q30" i="9"/>
  <c r="H30" i="9" s="1"/>
  <c r="H31" i="9" s="1"/>
  <c r="M30" i="9"/>
  <c r="M31" i="9" s="1"/>
  <c r="L30" i="9"/>
  <c r="L31" i="9" s="1"/>
  <c r="K30" i="9"/>
  <c r="K21" i="9" s="1"/>
  <c r="E30" i="9"/>
  <c r="C30" i="9"/>
  <c r="C31" i="9" s="1"/>
  <c r="AM29" i="9"/>
  <c r="AD29" i="9"/>
  <c r="U29" i="9"/>
  <c r="M29" i="9"/>
  <c r="H29" i="9"/>
  <c r="G29" i="9"/>
  <c r="F29" i="9"/>
  <c r="F20" i="9" s="1"/>
  <c r="F9" i="9" s="1"/>
  <c r="E29" i="9"/>
  <c r="D29" i="9"/>
  <c r="C29" i="9"/>
  <c r="B29" i="9"/>
  <c r="AK28" i="9"/>
  <c r="AQ27" i="9"/>
  <c r="AQ28" i="9" s="1"/>
  <c r="AN27" i="9"/>
  <c r="AM27" i="9" s="1"/>
  <c r="AM28" i="9" s="1"/>
  <c r="AL27" i="9"/>
  <c r="C27" i="9" s="1"/>
  <c r="C28" i="9" s="1"/>
  <c r="AH27" i="9"/>
  <c r="AH28" i="9" s="1"/>
  <c r="AG27" i="9"/>
  <c r="AD27" i="9" s="1"/>
  <c r="AD28" i="9" s="1"/>
  <c r="AF27" i="9"/>
  <c r="AF28" i="9" s="1"/>
  <c r="AE27" i="9"/>
  <c r="AE28" i="9" s="1"/>
  <c r="AC27" i="9"/>
  <c r="AC28" i="9" s="1"/>
  <c r="AB27" i="9"/>
  <c r="AB28" i="9" s="1"/>
  <c r="Y27" i="9"/>
  <c r="Y21" i="9" s="1"/>
  <c r="X27" i="9"/>
  <c r="X28" i="9" s="1"/>
  <c r="W27" i="9"/>
  <c r="W21" i="9" s="1"/>
  <c r="V27" i="9"/>
  <c r="V28" i="9" s="1"/>
  <c r="T27" i="9"/>
  <c r="T28" i="9" s="1"/>
  <c r="S27" i="9"/>
  <c r="S28" i="9" s="1"/>
  <c r="Q27" i="9"/>
  <c r="H27" i="9" s="1"/>
  <c r="H28" i="9" s="1"/>
  <c r="P27" i="9"/>
  <c r="P21" i="9" s="1"/>
  <c r="O27" i="9"/>
  <c r="O28" i="9" s="1"/>
  <c r="N27" i="9"/>
  <c r="M27" i="9" s="1"/>
  <c r="L27" i="9"/>
  <c r="L28" i="9" s="1"/>
  <c r="K27" i="9"/>
  <c r="B27" i="9" s="1"/>
  <c r="AM26" i="9"/>
  <c r="AD26" i="9"/>
  <c r="U26" i="9"/>
  <c r="M26" i="9"/>
  <c r="D26" i="9" s="1"/>
  <c r="H26" i="9"/>
  <c r="G26" i="9"/>
  <c r="G20" i="9" s="1"/>
  <c r="G9" i="9" s="1"/>
  <c r="F26" i="9"/>
  <c r="E26" i="9"/>
  <c r="C26" i="9"/>
  <c r="B26" i="9"/>
  <c r="AQ25" i="9"/>
  <c r="AC25" i="9"/>
  <c r="S25" i="9"/>
  <c r="AQ24" i="9"/>
  <c r="AO24" i="9"/>
  <c r="AM24" i="9" s="1"/>
  <c r="AM25" i="9" s="1"/>
  <c r="AN24" i="9"/>
  <c r="AL24" i="9"/>
  <c r="AL25" i="9" s="1"/>
  <c r="AK24" i="9"/>
  <c r="AK25" i="9" s="1"/>
  <c r="AH24" i="9"/>
  <c r="AH25" i="9" s="1"/>
  <c r="AG24" i="9"/>
  <c r="AG25" i="9" s="1"/>
  <c r="AF24" i="9"/>
  <c r="AF25" i="9" s="1"/>
  <c r="AE24" i="9"/>
  <c r="AD24" i="9" s="1"/>
  <c r="AD25" i="9" s="1"/>
  <c r="AC24" i="9"/>
  <c r="AB24" i="9"/>
  <c r="AB25" i="9" s="1"/>
  <c r="Y24" i="9"/>
  <c r="Y25" i="9" s="1"/>
  <c r="X24" i="9"/>
  <c r="X25" i="9" s="1"/>
  <c r="W24" i="9"/>
  <c r="W25" i="9" s="1"/>
  <c r="V24" i="9"/>
  <c r="V25" i="9" s="1"/>
  <c r="U24" i="9"/>
  <c r="U25" i="9" s="1"/>
  <c r="T24" i="9"/>
  <c r="T25" i="9" s="1"/>
  <c r="S24" i="9"/>
  <c r="Q24" i="9"/>
  <c r="Q25" i="9" s="1"/>
  <c r="P24" i="9"/>
  <c r="P25" i="9" s="1"/>
  <c r="O24" i="9"/>
  <c r="O25" i="9" s="1"/>
  <c r="N24" i="9"/>
  <c r="N25" i="9" s="1"/>
  <c r="L24" i="9"/>
  <c r="L25" i="9" s="1"/>
  <c r="K24" i="9"/>
  <c r="K25" i="9" s="1"/>
  <c r="G24" i="9"/>
  <c r="G25" i="9" s="1"/>
  <c r="B24" i="9"/>
  <c r="B25" i="9" s="1"/>
  <c r="AM23" i="9"/>
  <c r="AD23" i="9"/>
  <c r="U23" i="9"/>
  <c r="M23" i="9"/>
  <c r="D23" i="9" s="1"/>
  <c r="H23" i="9"/>
  <c r="G23" i="9"/>
  <c r="F23" i="9"/>
  <c r="E23" i="9"/>
  <c r="C23" i="9"/>
  <c r="B23" i="9"/>
  <c r="T22" i="9"/>
  <c r="AQ21" i="9"/>
  <c r="AQ22" i="9" s="1"/>
  <c r="AP21" i="9"/>
  <c r="AP22" i="9" s="1"/>
  <c r="AO21" i="9"/>
  <c r="AO22" i="9" s="1"/>
  <c r="AK21" i="9"/>
  <c r="AK22" i="9" s="1"/>
  <c r="AH21" i="9"/>
  <c r="AH22" i="9" s="1"/>
  <c r="AF21" i="9"/>
  <c r="AF22" i="9" s="1"/>
  <c r="AE21" i="9"/>
  <c r="AC21" i="9"/>
  <c r="AC22" i="9" s="1"/>
  <c r="V21" i="9"/>
  <c r="V22" i="9" s="1"/>
  <c r="T21" i="9"/>
  <c r="S21" i="9"/>
  <c r="S22" i="9" s="1"/>
  <c r="L21" i="9"/>
  <c r="L22" i="9" s="1"/>
  <c r="AQ20" i="9"/>
  <c r="AP20" i="9"/>
  <c r="AO20" i="9"/>
  <c r="AN20" i="9"/>
  <c r="AM20" i="9" s="1"/>
  <c r="AL20" i="9"/>
  <c r="AL9" i="9" s="1"/>
  <c r="AK20" i="9"/>
  <c r="AH20" i="9"/>
  <c r="AH9" i="9" s="1"/>
  <c r="AG20" i="9"/>
  <c r="AF20" i="9"/>
  <c r="AE20" i="9"/>
  <c r="AD20" i="9" s="1"/>
  <c r="AC20" i="9"/>
  <c r="AB20" i="9"/>
  <c r="AB9" i="9" s="1"/>
  <c r="Y20" i="9"/>
  <c r="X20" i="9"/>
  <c r="X9" i="9" s="1"/>
  <c r="W20" i="9"/>
  <c r="V20" i="9"/>
  <c r="U20" i="9" s="1"/>
  <c r="T20" i="9"/>
  <c r="S20" i="9"/>
  <c r="Q20" i="9"/>
  <c r="Q9" i="9" s="1"/>
  <c r="P20" i="9"/>
  <c r="O20" i="9"/>
  <c r="O9" i="9" s="1"/>
  <c r="N20" i="9"/>
  <c r="M20" i="9" s="1"/>
  <c r="L20" i="9"/>
  <c r="K20" i="9"/>
  <c r="E20" i="9"/>
  <c r="C20" i="9"/>
  <c r="AM18" i="9"/>
  <c r="AD18" i="9"/>
  <c r="U18" i="9"/>
  <c r="AM17" i="9"/>
  <c r="AD17" i="9"/>
  <c r="U17" i="9"/>
  <c r="Q17" i="9"/>
  <c r="P17" i="9"/>
  <c r="O17" i="9"/>
  <c r="N17" i="9"/>
  <c r="M17" i="9"/>
  <c r="D17" i="9" s="1"/>
  <c r="L17" i="9"/>
  <c r="K17" i="9"/>
  <c r="B17" i="9" s="1"/>
  <c r="H17" i="9"/>
  <c r="G17" i="9"/>
  <c r="F17" i="9"/>
  <c r="E17" i="9"/>
  <c r="C17" i="9"/>
  <c r="AQ16" i="9"/>
  <c r="AM16" i="9" s="1"/>
  <c r="AL16" i="9"/>
  <c r="AK16" i="9"/>
  <c r="AH16" i="9"/>
  <c r="AF16" i="9"/>
  <c r="AE16" i="9"/>
  <c r="AD16" i="9" s="1"/>
  <c r="AC16" i="9"/>
  <c r="AB16" i="9"/>
  <c r="Y16" i="9"/>
  <c r="W16" i="9"/>
  <c r="V16" i="9"/>
  <c r="U16" i="9" s="1"/>
  <c r="T16" i="9"/>
  <c r="C16" i="9" s="1"/>
  <c r="S16" i="9"/>
  <c r="Q16" i="9"/>
  <c r="H16" i="9" s="1"/>
  <c r="P16" i="9"/>
  <c r="O16" i="9"/>
  <c r="N16" i="9"/>
  <c r="M16" i="9" s="1"/>
  <c r="L16" i="9"/>
  <c r="K16" i="9"/>
  <c r="B16" i="9" s="1"/>
  <c r="G16" i="9"/>
  <c r="F16" i="9"/>
  <c r="E16" i="9"/>
  <c r="AQ15" i="9"/>
  <c r="AP15" i="9"/>
  <c r="AO15" i="9"/>
  <c r="AN15" i="9"/>
  <c r="AG15" i="9"/>
  <c r="AE15" i="9"/>
  <c r="X15" i="9"/>
  <c r="W15" i="9"/>
  <c r="U15" i="9"/>
  <c r="N15" i="9"/>
  <c r="L15" i="9"/>
  <c r="AQ14" i="9"/>
  <c r="AM14" i="9" s="1"/>
  <c r="AM15" i="9" s="1"/>
  <c r="AL14" i="9"/>
  <c r="AL15" i="9" s="1"/>
  <c r="AK14" i="9"/>
  <c r="AK15" i="9" s="1"/>
  <c r="AH14" i="9"/>
  <c r="AH15" i="9" s="1"/>
  <c r="AF14" i="9"/>
  <c r="AF15" i="9" s="1"/>
  <c r="AE14" i="9"/>
  <c r="AD14" i="9"/>
  <c r="AD15" i="9" s="1"/>
  <c r="AC14" i="9"/>
  <c r="AC15" i="9" s="1"/>
  <c r="AB14" i="9"/>
  <c r="AB15" i="9" s="1"/>
  <c r="Y14" i="9"/>
  <c r="Y15" i="9" s="1"/>
  <c r="W14" i="9"/>
  <c r="V14" i="9"/>
  <c r="V15" i="9" s="1"/>
  <c r="U14" i="9"/>
  <c r="T14" i="9"/>
  <c r="T15" i="9" s="1"/>
  <c r="S14" i="9"/>
  <c r="S10" i="9" s="1"/>
  <c r="S11" i="9" s="1"/>
  <c r="Q14" i="9"/>
  <c r="Q15" i="9" s="1"/>
  <c r="P14" i="9"/>
  <c r="P15" i="9" s="1"/>
  <c r="O14" i="9"/>
  <c r="F14" i="9" s="1"/>
  <c r="N14" i="9"/>
  <c r="L14" i="9"/>
  <c r="C14" i="9" s="1"/>
  <c r="K14" i="9"/>
  <c r="K15" i="9" s="1"/>
  <c r="H14" i="9"/>
  <c r="G14" i="9"/>
  <c r="G15" i="9" s="1"/>
  <c r="E14" i="9"/>
  <c r="E15" i="9" s="1"/>
  <c r="AM13" i="9"/>
  <c r="AD13" i="9"/>
  <c r="U13" i="9"/>
  <c r="M13" i="9"/>
  <c r="H13" i="9"/>
  <c r="G13" i="9"/>
  <c r="F13" i="9"/>
  <c r="E13" i="9"/>
  <c r="E9" i="9" s="1"/>
  <c r="D13" i="9"/>
  <c r="C13" i="9"/>
  <c r="C9" i="9" s="1"/>
  <c r="B13" i="9"/>
  <c r="AK11" i="9"/>
  <c r="AC11" i="9"/>
  <c r="AP10" i="9"/>
  <c r="AP11" i="9" s="1"/>
  <c r="AK10" i="9"/>
  <c r="AH10" i="9"/>
  <c r="AF10" i="9"/>
  <c r="AF11" i="9" s="1"/>
  <c r="AC10" i="9"/>
  <c r="V10" i="9"/>
  <c r="V11" i="9" s="1"/>
  <c r="T10" i="9"/>
  <c r="T11" i="9" s="1"/>
  <c r="AQ9" i="9"/>
  <c r="AP9" i="9"/>
  <c r="AO9" i="9"/>
  <c r="AN9" i="9"/>
  <c r="AM9" i="9" s="1"/>
  <c r="AK9" i="9"/>
  <c r="AG9" i="9"/>
  <c r="AF9" i="9"/>
  <c r="AE9" i="9"/>
  <c r="AC9" i="9"/>
  <c r="Y9" i="9"/>
  <c r="W9" i="9"/>
  <c r="V9" i="9"/>
  <c r="U9" i="9" s="1"/>
  <c r="T9" i="9"/>
  <c r="S9" i="9"/>
  <c r="P9" i="9"/>
  <c r="N9" i="9"/>
  <c r="M9" i="9" s="1"/>
  <c r="L9" i="9"/>
  <c r="K9" i="9"/>
  <c r="B28" i="9" l="1"/>
  <c r="AD9" i="9"/>
  <c r="C15" i="9"/>
  <c r="D20" i="9"/>
  <c r="W22" i="9"/>
  <c r="W10" i="9"/>
  <c r="W11" i="9" s="1"/>
  <c r="Y22" i="9"/>
  <c r="Y10" i="9"/>
  <c r="Y11" i="9" s="1"/>
  <c r="K10" i="9"/>
  <c r="K11" i="9" s="1"/>
  <c r="K22" i="9"/>
  <c r="M28" i="9"/>
  <c r="D27" i="9"/>
  <c r="D28" i="9" s="1"/>
  <c r="P22" i="9"/>
  <c r="P10" i="9"/>
  <c r="P11" i="9" s="1"/>
  <c r="M40" i="9"/>
  <c r="AM21" i="9"/>
  <c r="AM22" i="9" s="1"/>
  <c r="AN10" i="9"/>
  <c r="F15" i="9"/>
  <c r="AH11" i="9"/>
  <c r="D9" i="9"/>
  <c r="D16" i="9"/>
  <c r="O22" i="9"/>
  <c r="O10" i="9"/>
  <c r="O11" i="9" s="1"/>
  <c r="AB10" i="9"/>
  <c r="AB11" i="9" s="1"/>
  <c r="AB22" i="9"/>
  <c r="AD21" i="9"/>
  <c r="AD22" i="9" s="1"/>
  <c r="Q10" i="9"/>
  <c r="Q11" i="9" s="1"/>
  <c r="Q22" i="9"/>
  <c r="N28" i="9"/>
  <c r="W28" i="9"/>
  <c r="AG28" i="9"/>
  <c r="L10" i="9"/>
  <c r="L11" i="9" s="1"/>
  <c r="AE10" i="9"/>
  <c r="AO10" i="9"/>
  <c r="AO11" i="9" s="1"/>
  <c r="C24" i="9"/>
  <c r="M24" i="9"/>
  <c r="AO25" i="9"/>
  <c r="E27" i="9"/>
  <c r="E28" i="9" s="1"/>
  <c r="B30" i="9"/>
  <c r="B31" i="9" s="1"/>
  <c r="W37" i="9"/>
  <c r="F39" i="9"/>
  <c r="F40" i="9" s="1"/>
  <c r="AM39" i="9"/>
  <c r="AM40" i="9" s="1"/>
  <c r="O40" i="9"/>
  <c r="X40" i="9"/>
  <c r="N21" i="9"/>
  <c r="F27" i="9"/>
  <c r="F28" i="9" s="1"/>
  <c r="P28" i="9"/>
  <c r="AQ10" i="9"/>
  <c r="AQ11" i="9" s="1"/>
  <c r="M14" i="9"/>
  <c r="O15" i="9"/>
  <c r="X21" i="9"/>
  <c r="AE22" i="9"/>
  <c r="E24" i="9"/>
  <c r="G27" i="9"/>
  <c r="Q28" i="9"/>
  <c r="AL28" i="9"/>
  <c r="D30" i="9"/>
  <c r="D31" i="9" s="1"/>
  <c r="B36" i="9"/>
  <c r="B37" i="9" s="1"/>
  <c r="H39" i="9"/>
  <c r="H40" i="9" s="1"/>
  <c r="Q40" i="9"/>
  <c r="AB40" i="9"/>
  <c r="AL40" i="9"/>
  <c r="Y28" i="9"/>
  <c r="F24" i="9"/>
  <c r="K31" i="9"/>
  <c r="M36" i="9"/>
  <c r="AD39" i="9"/>
  <c r="AD40" i="9" s="1"/>
  <c r="B14" i="9"/>
  <c r="AG21" i="9"/>
  <c r="AL21" i="9"/>
  <c r="K28" i="9"/>
  <c r="F30" i="9"/>
  <c r="F31" i="9" s="1"/>
  <c r="AE25" i="9"/>
  <c r="H15" i="9"/>
  <c r="S15" i="9"/>
  <c r="H24" i="9"/>
  <c r="U27" i="9"/>
  <c r="U28" i="9" s="1"/>
  <c r="U30" i="9"/>
  <c r="U31" i="9" s="1"/>
  <c r="D14" i="9" l="1"/>
  <c r="D15" i="9" s="1"/>
  <c r="M15" i="9"/>
  <c r="AE11" i="9"/>
  <c r="AL10" i="9"/>
  <c r="AL11" i="9" s="1"/>
  <c r="AL22" i="9"/>
  <c r="G21" i="9"/>
  <c r="G28" i="9"/>
  <c r="AM10" i="9"/>
  <c r="AM11" i="9" s="1"/>
  <c r="AN11" i="9"/>
  <c r="F25" i="9"/>
  <c r="F21" i="9"/>
  <c r="AG22" i="9"/>
  <c r="AG10" i="9"/>
  <c r="AG11" i="9" s="1"/>
  <c r="E25" i="9"/>
  <c r="E21" i="9"/>
  <c r="N22" i="9"/>
  <c r="N10" i="9"/>
  <c r="M21" i="9"/>
  <c r="M22" i="9" s="1"/>
  <c r="H21" i="9"/>
  <c r="H25" i="9"/>
  <c r="B15" i="9"/>
  <c r="D24" i="9"/>
  <c r="D25" i="9" s="1"/>
  <c r="M25" i="9"/>
  <c r="D39" i="9"/>
  <c r="D40" i="9" s="1"/>
  <c r="X22" i="9"/>
  <c r="X10" i="9"/>
  <c r="X11" i="9" s="1"/>
  <c r="C25" i="9"/>
  <c r="C21" i="9"/>
  <c r="B21" i="9"/>
  <c r="B22" i="9" s="1"/>
  <c r="D36" i="9"/>
  <c r="D37" i="9" s="1"/>
  <c r="M37" i="9"/>
  <c r="U21" i="9"/>
  <c r="U22" i="9" s="1"/>
  <c r="G10" i="9" l="1"/>
  <c r="G11" i="9" s="1"/>
  <c r="G22" i="9"/>
  <c r="C22" i="9"/>
  <c r="C10" i="9"/>
  <c r="C11" i="9" s="1"/>
  <c r="B10" i="9"/>
  <c r="B11" i="9" s="1"/>
  <c r="H22" i="9"/>
  <c r="H10" i="9"/>
  <c r="H11" i="9" s="1"/>
  <c r="AD10" i="9"/>
  <c r="AD11" i="9" s="1"/>
  <c r="N11" i="9"/>
  <c r="M10" i="9"/>
  <c r="M11" i="9" s="1"/>
  <c r="F22" i="9"/>
  <c r="F10" i="9"/>
  <c r="F11" i="9" s="1"/>
  <c r="U10" i="9"/>
  <c r="U11" i="9" s="1"/>
  <c r="E22" i="9"/>
  <c r="E10" i="9"/>
  <c r="D21" i="9"/>
  <c r="D22" i="9" s="1"/>
  <c r="AQ40" i="6"/>
  <c r="AP40" i="6"/>
  <c r="AO40" i="6"/>
  <c r="AM40" i="6"/>
  <c r="AL40" i="6"/>
  <c r="AK40" i="6"/>
  <c r="AH40" i="6"/>
  <c r="AG40" i="6"/>
  <c r="AF40" i="6"/>
  <c r="AE40" i="6"/>
  <c r="AD40" i="6"/>
  <c r="AC40" i="6"/>
  <c r="AB40" i="6"/>
  <c r="Y40" i="6"/>
  <c r="X40" i="6"/>
  <c r="W40" i="6"/>
  <c r="V40" i="6"/>
  <c r="U40" i="6"/>
  <c r="T40" i="6"/>
  <c r="S40" i="6"/>
  <c r="Q40" i="6"/>
  <c r="P40" i="6"/>
  <c r="O40" i="6"/>
  <c r="N40" i="6"/>
  <c r="M40" i="6"/>
  <c r="L40" i="6"/>
  <c r="K40" i="6"/>
  <c r="H40" i="6"/>
  <c r="E40" i="6"/>
  <c r="H39" i="6"/>
  <c r="G39" i="6"/>
  <c r="G40" i="6" s="1"/>
  <c r="F39" i="6"/>
  <c r="E39" i="6"/>
  <c r="D39" i="6"/>
  <c r="C39" i="6"/>
  <c r="C40" i="6" s="1"/>
  <c r="B39" i="6"/>
  <c r="B40" i="6" s="1"/>
  <c r="H38" i="6"/>
  <c r="G38" i="6"/>
  <c r="F38" i="6"/>
  <c r="F40" i="6" s="1"/>
  <c r="E38" i="6"/>
  <c r="C38" i="6"/>
  <c r="B38" i="6"/>
  <c r="B20" i="6" s="1"/>
  <c r="B9" i="6" s="1"/>
  <c r="AH37" i="6"/>
  <c r="AG37" i="6"/>
  <c r="AF37" i="6"/>
  <c r="AE37" i="6"/>
  <c r="AC37" i="6"/>
  <c r="AB37" i="6"/>
  <c r="Y37" i="6"/>
  <c r="X37" i="6"/>
  <c r="W37" i="6"/>
  <c r="V37" i="6"/>
  <c r="U37" i="6"/>
  <c r="T37" i="6"/>
  <c r="S37" i="6"/>
  <c r="M37" i="6"/>
  <c r="H37" i="6"/>
  <c r="B37" i="6"/>
  <c r="H36" i="6"/>
  <c r="G36" i="6"/>
  <c r="G37" i="6" s="1"/>
  <c r="F36" i="6"/>
  <c r="F37" i="6" s="1"/>
  <c r="E36" i="6"/>
  <c r="E37" i="6" s="1"/>
  <c r="C36" i="6"/>
  <c r="C37" i="6" s="1"/>
  <c r="B36" i="6"/>
  <c r="AD35" i="6"/>
  <c r="AD37" i="6" s="1"/>
  <c r="H35" i="6"/>
  <c r="G35" i="6"/>
  <c r="F35" i="6"/>
  <c r="E35" i="6"/>
  <c r="D35" i="6" s="1"/>
  <c r="C35" i="6"/>
  <c r="B35" i="6"/>
  <c r="AH34" i="6"/>
  <c r="AG34" i="6"/>
  <c r="AF34" i="6"/>
  <c r="AE34" i="6"/>
  <c r="AD34" i="6"/>
  <c r="AC34" i="6"/>
  <c r="AB34" i="6"/>
  <c r="Y34" i="6"/>
  <c r="X34" i="6"/>
  <c r="W34" i="6"/>
  <c r="V34" i="6"/>
  <c r="U34" i="6"/>
  <c r="T34" i="6"/>
  <c r="S34" i="6"/>
  <c r="M34" i="6"/>
  <c r="G34" i="6"/>
  <c r="F34" i="6"/>
  <c r="E34" i="6"/>
  <c r="H33" i="6"/>
  <c r="H34" i="6" s="1"/>
  <c r="G33" i="6"/>
  <c r="F33" i="6"/>
  <c r="E33" i="6"/>
  <c r="D33" i="6"/>
  <c r="D34" i="6" s="1"/>
  <c r="C33" i="6"/>
  <c r="C34" i="6" s="1"/>
  <c r="B33" i="6"/>
  <c r="B34" i="6" s="1"/>
  <c r="AM32" i="6"/>
  <c r="H32" i="6"/>
  <c r="G32" i="6"/>
  <c r="F32" i="6"/>
  <c r="E32" i="6"/>
  <c r="D32" i="6"/>
  <c r="C32" i="6"/>
  <c r="B32" i="6"/>
  <c r="AQ31" i="6"/>
  <c r="AP31" i="6"/>
  <c r="AO31" i="6"/>
  <c r="AL31" i="6"/>
  <c r="AK31" i="6"/>
  <c r="AH31" i="6"/>
  <c r="AG31" i="6"/>
  <c r="AF31" i="6"/>
  <c r="AE31" i="6"/>
  <c r="AD31" i="6"/>
  <c r="AC31" i="6"/>
  <c r="AB31" i="6"/>
  <c r="Y31" i="6"/>
  <c r="X31" i="6"/>
  <c r="W31" i="6"/>
  <c r="V31" i="6"/>
  <c r="U31" i="6"/>
  <c r="T31" i="6"/>
  <c r="S31" i="6"/>
  <c r="Q31" i="6"/>
  <c r="P31" i="6"/>
  <c r="O31" i="6"/>
  <c r="N31" i="6"/>
  <c r="M31" i="6"/>
  <c r="L31" i="6"/>
  <c r="K31" i="6"/>
  <c r="H31" i="6"/>
  <c r="G31" i="6"/>
  <c r="F31" i="6"/>
  <c r="B31" i="6"/>
  <c r="H30" i="6"/>
  <c r="G30" i="6"/>
  <c r="F30" i="6"/>
  <c r="E30" i="6"/>
  <c r="E31" i="6" s="1"/>
  <c r="C30" i="6"/>
  <c r="C31" i="6" s="1"/>
  <c r="B30" i="6"/>
  <c r="AM29" i="6"/>
  <c r="AM20" i="6" s="1"/>
  <c r="AM9" i="6" s="1"/>
  <c r="H29" i="6"/>
  <c r="G29" i="6"/>
  <c r="F29" i="6"/>
  <c r="E29" i="6"/>
  <c r="D29" i="6" s="1"/>
  <c r="C29" i="6"/>
  <c r="B29" i="6"/>
  <c r="AQ28" i="6"/>
  <c r="AP28" i="6"/>
  <c r="AO28" i="6"/>
  <c r="AM28" i="6"/>
  <c r="AL28" i="6"/>
  <c r="AK28" i="6"/>
  <c r="AH28" i="6"/>
  <c r="AG28" i="6"/>
  <c r="AF28" i="6"/>
  <c r="AE28" i="6"/>
  <c r="AD28" i="6"/>
  <c r="AC28" i="6"/>
  <c r="AB28" i="6"/>
  <c r="Y28" i="6"/>
  <c r="X28" i="6"/>
  <c r="W28" i="6"/>
  <c r="V28" i="6"/>
  <c r="U28" i="6"/>
  <c r="T28" i="6"/>
  <c r="S28" i="6"/>
  <c r="Q28" i="6"/>
  <c r="P28" i="6"/>
  <c r="O28" i="6"/>
  <c r="N28" i="6"/>
  <c r="M28" i="6"/>
  <c r="L28" i="6"/>
  <c r="K28" i="6"/>
  <c r="H28" i="6"/>
  <c r="G28" i="6"/>
  <c r="C28" i="6"/>
  <c r="H27" i="6"/>
  <c r="H21" i="6" s="1"/>
  <c r="G27" i="6"/>
  <c r="G21" i="6" s="1"/>
  <c r="F27" i="6"/>
  <c r="F28" i="6" s="1"/>
  <c r="E27" i="6"/>
  <c r="C27" i="6"/>
  <c r="B27" i="6"/>
  <c r="B28" i="6" s="1"/>
  <c r="H26" i="6"/>
  <c r="G26" i="6"/>
  <c r="F26" i="6"/>
  <c r="E26" i="6"/>
  <c r="D26" i="6" s="1"/>
  <c r="C26" i="6"/>
  <c r="B26" i="6"/>
  <c r="AQ25" i="6"/>
  <c r="AP25" i="6"/>
  <c r="AO25" i="6"/>
  <c r="AM25" i="6"/>
  <c r="AL25" i="6"/>
  <c r="AK25" i="6"/>
  <c r="AH25" i="6"/>
  <c r="AG25" i="6"/>
  <c r="AF25" i="6"/>
  <c r="AE25" i="6"/>
  <c r="AC25" i="6"/>
  <c r="AB25" i="6"/>
  <c r="Y25" i="6"/>
  <c r="X25" i="6"/>
  <c r="W25" i="6"/>
  <c r="V25" i="6"/>
  <c r="T25" i="6"/>
  <c r="S25" i="6"/>
  <c r="Q25" i="6"/>
  <c r="P25" i="6"/>
  <c r="O25" i="6"/>
  <c r="N25" i="6"/>
  <c r="L25" i="6"/>
  <c r="K25" i="6"/>
  <c r="H25" i="6"/>
  <c r="G25" i="6"/>
  <c r="AM24" i="6"/>
  <c r="AM21" i="6" s="1"/>
  <c r="AD24" i="6"/>
  <c r="AD21" i="6" s="1"/>
  <c r="U24" i="6"/>
  <c r="U25" i="6" s="1"/>
  <c r="M24" i="6"/>
  <c r="H24" i="6"/>
  <c r="G24" i="6"/>
  <c r="F24" i="6"/>
  <c r="F25" i="6" s="1"/>
  <c r="E24" i="6"/>
  <c r="E25" i="6" s="1"/>
  <c r="C24" i="6"/>
  <c r="C25" i="6" s="1"/>
  <c r="B24" i="6"/>
  <c r="B25" i="6" s="1"/>
  <c r="AM23" i="6"/>
  <c r="AD23" i="6"/>
  <c r="U23" i="6"/>
  <c r="M23" i="6"/>
  <c r="M20" i="6" s="1"/>
  <c r="H23" i="6"/>
  <c r="G23" i="6"/>
  <c r="F23" i="6"/>
  <c r="E23" i="6"/>
  <c r="D23" i="6" s="1"/>
  <c r="C23" i="6"/>
  <c r="B23" i="6"/>
  <c r="AL22" i="6"/>
  <c r="AC22" i="6"/>
  <c r="AB22" i="6"/>
  <c r="S22" i="6"/>
  <c r="Q22" i="6"/>
  <c r="AQ21" i="6"/>
  <c r="AQ22" i="6" s="1"/>
  <c r="AP21" i="6"/>
  <c r="AP22" i="6" s="1"/>
  <c r="AO21" i="6"/>
  <c r="AO22" i="6" s="1"/>
  <c r="AN21" i="6"/>
  <c r="AL21" i="6"/>
  <c r="AK21" i="6"/>
  <c r="AK22" i="6" s="1"/>
  <c r="AH21" i="6"/>
  <c r="AH22" i="6" s="1"/>
  <c r="AG21" i="6"/>
  <c r="AG22" i="6" s="1"/>
  <c r="AF21" i="6"/>
  <c r="AF22" i="6" s="1"/>
  <c r="AE21" i="6"/>
  <c r="AE22" i="6" s="1"/>
  <c r="AC21" i="6"/>
  <c r="AB21" i="6"/>
  <c r="Y21" i="6"/>
  <c r="Y22" i="6" s="1"/>
  <c r="X21" i="6"/>
  <c r="X22" i="6" s="1"/>
  <c r="W21" i="6"/>
  <c r="W22" i="6" s="1"/>
  <c r="V21" i="6"/>
  <c r="V22" i="6" s="1"/>
  <c r="U21" i="6"/>
  <c r="U22" i="6" s="1"/>
  <c r="T21" i="6"/>
  <c r="S21" i="6"/>
  <c r="Q21" i="6"/>
  <c r="P21" i="6"/>
  <c r="P22" i="6" s="1"/>
  <c r="O21" i="6"/>
  <c r="O22" i="6" s="1"/>
  <c r="N21" i="6"/>
  <c r="N22" i="6" s="1"/>
  <c r="M21" i="6"/>
  <c r="M22" i="6" s="1"/>
  <c r="L21" i="6"/>
  <c r="L22" i="6" s="1"/>
  <c r="K21" i="6"/>
  <c r="B21" i="6"/>
  <c r="B22" i="6" s="1"/>
  <c r="AQ20" i="6"/>
  <c r="AP20" i="6"/>
  <c r="AO20" i="6"/>
  <c r="AN20" i="6"/>
  <c r="AL20" i="6"/>
  <c r="AK20" i="6"/>
  <c r="AH20" i="6"/>
  <c r="AG20" i="6"/>
  <c r="AF20" i="6"/>
  <c r="AE20" i="6"/>
  <c r="AD20" i="6"/>
  <c r="AC20" i="6"/>
  <c r="AB20" i="6"/>
  <c r="Y20" i="6"/>
  <c r="X20" i="6"/>
  <c r="W20" i="6"/>
  <c r="V20" i="6"/>
  <c r="U20" i="6"/>
  <c r="T20" i="6"/>
  <c r="C20" i="6" s="1"/>
  <c r="C9" i="6" s="1"/>
  <c r="S20" i="6"/>
  <c r="Q20" i="6"/>
  <c r="H20" i="6" s="1"/>
  <c r="H9" i="6" s="1"/>
  <c r="P20" i="6"/>
  <c r="G20" i="6" s="1"/>
  <c r="G9" i="6" s="1"/>
  <c r="O20" i="6"/>
  <c r="F20" i="6" s="1"/>
  <c r="N20" i="6"/>
  <c r="L20" i="6"/>
  <c r="K20" i="6"/>
  <c r="K22" i="6" s="1"/>
  <c r="E20" i="6"/>
  <c r="AM18" i="6"/>
  <c r="AD18" i="6"/>
  <c r="U18" i="6"/>
  <c r="H18" i="6"/>
  <c r="G18" i="6"/>
  <c r="F18" i="6"/>
  <c r="E18" i="6"/>
  <c r="D18" i="6" s="1"/>
  <c r="C18" i="6"/>
  <c r="B18" i="6"/>
  <c r="H17" i="6"/>
  <c r="G17" i="6"/>
  <c r="F17" i="6"/>
  <c r="D17" i="6" s="1"/>
  <c r="E17" i="6"/>
  <c r="C17" i="6"/>
  <c r="B17" i="6"/>
  <c r="H16" i="6"/>
  <c r="G16" i="6"/>
  <c r="F16" i="6"/>
  <c r="E16" i="6"/>
  <c r="D16" i="6" s="1"/>
  <c r="C16" i="6"/>
  <c r="B16" i="6"/>
  <c r="AQ15" i="6"/>
  <c r="AP15" i="6"/>
  <c r="AO15" i="6"/>
  <c r="AM15" i="6"/>
  <c r="AL15" i="6"/>
  <c r="AK15" i="6"/>
  <c r="AH15" i="6"/>
  <c r="AG15" i="6"/>
  <c r="AF15" i="6"/>
  <c r="AE15" i="6"/>
  <c r="AD15" i="6"/>
  <c r="AC15" i="6"/>
  <c r="AB15" i="6"/>
  <c r="Y15" i="6"/>
  <c r="X15" i="6"/>
  <c r="W15" i="6"/>
  <c r="V15" i="6"/>
  <c r="U15" i="6"/>
  <c r="T15" i="6"/>
  <c r="S15" i="6"/>
  <c r="Q15" i="6"/>
  <c r="P15" i="6"/>
  <c r="O15" i="6"/>
  <c r="N15" i="6"/>
  <c r="M15" i="6"/>
  <c r="L15" i="6"/>
  <c r="K15" i="6"/>
  <c r="H15" i="6"/>
  <c r="G15" i="6"/>
  <c r="C15" i="6"/>
  <c r="H14" i="6"/>
  <c r="H10" i="6" s="1"/>
  <c r="G14" i="6"/>
  <c r="G10" i="6" s="1"/>
  <c r="G11" i="6" s="1"/>
  <c r="F14" i="6"/>
  <c r="F15" i="6" s="1"/>
  <c r="E14" i="6"/>
  <c r="E15" i="6" s="1"/>
  <c r="C14" i="6"/>
  <c r="B14" i="6"/>
  <c r="B15" i="6" s="1"/>
  <c r="H13" i="6"/>
  <c r="G13" i="6"/>
  <c r="F13" i="6"/>
  <c r="F9" i="6" s="1"/>
  <c r="E13" i="6"/>
  <c r="D13" i="6" s="1"/>
  <c r="C13" i="6"/>
  <c r="B13" i="6"/>
  <c r="AL11" i="6"/>
  <c r="AC11" i="6"/>
  <c r="AB11" i="6"/>
  <c r="S11" i="6"/>
  <c r="Q11" i="6"/>
  <c r="AQ10" i="6"/>
  <c r="AQ11" i="6" s="1"/>
  <c r="AP10" i="6"/>
  <c r="AP11" i="6" s="1"/>
  <c r="AO10" i="6"/>
  <c r="AO11" i="6" s="1"/>
  <c r="AN10" i="6"/>
  <c r="AL10" i="6"/>
  <c r="AK10" i="6"/>
  <c r="AK11" i="6" s="1"/>
  <c r="AH10" i="6"/>
  <c r="AH11" i="6" s="1"/>
  <c r="AG10" i="6"/>
  <c r="AG11" i="6" s="1"/>
  <c r="AF10" i="6"/>
  <c r="AF11" i="6" s="1"/>
  <c r="AE10" i="6"/>
  <c r="AE11" i="6" s="1"/>
  <c r="AC10" i="6"/>
  <c r="AB10" i="6"/>
  <c r="Y10" i="6"/>
  <c r="Y11" i="6" s="1"/>
  <c r="X10" i="6"/>
  <c r="X11" i="6" s="1"/>
  <c r="W10" i="6"/>
  <c r="W11" i="6" s="1"/>
  <c r="V10" i="6"/>
  <c r="V11" i="6" s="1"/>
  <c r="U10" i="6"/>
  <c r="U11" i="6" s="1"/>
  <c r="T10" i="6"/>
  <c r="S10" i="6"/>
  <c r="Q10" i="6"/>
  <c r="P10" i="6"/>
  <c r="P11" i="6" s="1"/>
  <c r="O10" i="6"/>
  <c r="O11" i="6" s="1"/>
  <c r="N10" i="6"/>
  <c r="N11" i="6" s="1"/>
  <c r="M10" i="6"/>
  <c r="L10" i="6"/>
  <c r="L11" i="6" s="1"/>
  <c r="K10" i="6"/>
  <c r="B10" i="6"/>
  <c r="B11" i="6" s="1"/>
  <c r="AQ9" i="6"/>
  <c r="AP9" i="6"/>
  <c r="AO9" i="6"/>
  <c r="AN9" i="6"/>
  <c r="AL9" i="6"/>
  <c r="AK9" i="6"/>
  <c r="AH9" i="6"/>
  <c r="AG9" i="6"/>
  <c r="AF9" i="6"/>
  <c r="AE9" i="6"/>
  <c r="AD9" i="6"/>
  <c r="AC9" i="6"/>
  <c r="AB9" i="6"/>
  <c r="Y9" i="6"/>
  <c r="X9" i="6"/>
  <c r="W9" i="6"/>
  <c r="V9" i="6"/>
  <c r="U9" i="6"/>
  <c r="T9" i="6"/>
  <c r="T11" i="6" s="1"/>
  <c r="S9" i="6"/>
  <c r="Q9" i="6"/>
  <c r="P9" i="6"/>
  <c r="O9" i="6"/>
  <c r="N9" i="6"/>
  <c r="L9" i="6"/>
  <c r="K9" i="6"/>
  <c r="K11" i="6" s="1"/>
  <c r="E9" i="6"/>
  <c r="E11" i="9" l="1"/>
  <c r="D10" i="9"/>
  <c r="D11" i="9" s="1"/>
  <c r="AM22" i="6"/>
  <c r="AM10" i="6"/>
  <c r="AM11" i="6" s="1"/>
  <c r="D20" i="6"/>
  <c r="M9" i="6"/>
  <c r="G22" i="6"/>
  <c r="M11" i="6"/>
  <c r="H22" i="6"/>
  <c r="D9" i="6"/>
  <c r="H11" i="6"/>
  <c r="AD10" i="6"/>
  <c r="AD11" i="6" s="1"/>
  <c r="AD22" i="6"/>
  <c r="C21" i="6"/>
  <c r="T22" i="6"/>
  <c r="D24" i="6"/>
  <c r="D38" i="6"/>
  <c r="D40" i="6" s="1"/>
  <c r="AD25" i="6"/>
  <c r="AM31" i="6"/>
  <c r="E21" i="6"/>
  <c r="F10" i="6"/>
  <c r="F11" i="6" s="1"/>
  <c r="M25" i="6"/>
  <c r="D36" i="6"/>
  <c r="D37" i="6" s="1"/>
  <c r="D14" i="6"/>
  <c r="D27" i="6"/>
  <c r="D28" i="6" s="1"/>
  <c r="E28" i="6"/>
  <c r="F21" i="6"/>
  <c r="F22" i="6" s="1"/>
  <c r="D30" i="6"/>
  <c r="D31" i="6" s="1"/>
  <c r="D15" i="6" l="1"/>
  <c r="D25" i="6"/>
  <c r="D21" i="6"/>
  <c r="D22" i="6" s="1"/>
  <c r="C22" i="6"/>
  <c r="C10" i="6"/>
  <c r="C11" i="6" s="1"/>
  <c r="E22" i="6"/>
  <c r="E10" i="6"/>
  <c r="E11" i="6" s="1"/>
  <c r="D10" i="6" l="1"/>
  <c r="D11" i="6" s="1"/>
  <c r="AQ40" i="11" l="1"/>
  <c r="AP40" i="11"/>
  <c r="AO40" i="11"/>
  <c r="AN40" i="11"/>
  <c r="AL40" i="11"/>
  <c r="AK40" i="11"/>
  <c r="AH40" i="11"/>
  <c r="AG40" i="11"/>
  <c r="AF40" i="11"/>
  <c r="AE40" i="11"/>
  <c r="AC40" i="11"/>
  <c r="AB40" i="11"/>
  <c r="Y40" i="11"/>
  <c r="X40" i="11"/>
  <c r="W40" i="11"/>
  <c r="V40" i="11"/>
  <c r="T40" i="11"/>
  <c r="S40" i="11"/>
  <c r="Q40" i="11"/>
  <c r="P40" i="11"/>
  <c r="O40" i="11"/>
  <c r="N40" i="11"/>
  <c r="L40" i="11"/>
  <c r="K40" i="11"/>
  <c r="F40" i="11"/>
  <c r="AM39" i="11"/>
  <c r="AM40" i="11" s="1"/>
  <c r="AD39" i="11"/>
  <c r="AD40" i="11" s="1"/>
  <c r="U39" i="11"/>
  <c r="U40" i="11" s="1"/>
  <c r="M39" i="11"/>
  <c r="M40" i="11" s="1"/>
  <c r="H39" i="11"/>
  <c r="H40" i="11" s="1"/>
  <c r="G39" i="11"/>
  <c r="F39" i="11"/>
  <c r="E39" i="11"/>
  <c r="D39" i="11"/>
  <c r="D40" i="11" s="1"/>
  <c r="C39" i="11"/>
  <c r="C40" i="11" s="1"/>
  <c r="B39" i="11"/>
  <c r="B40" i="11" s="1"/>
  <c r="AM38" i="11"/>
  <c r="AD38" i="11"/>
  <c r="U38" i="11"/>
  <c r="M38" i="11"/>
  <c r="H38" i="11"/>
  <c r="G38" i="11"/>
  <c r="G40" i="11" s="1"/>
  <c r="F38" i="11"/>
  <c r="E38" i="11"/>
  <c r="E40" i="11" s="1"/>
  <c r="D38" i="11"/>
  <c r="C38" i="11"/>
  <c r="B38" i="11"/>
  <c r="AQ37" i="11"/>
  <c r="AP37" i="11"/>
  <c r="AO37" i="11"/>
  <c r="AN37" i="11"/>
  <c r="AL37" i="11"/>
  <c r="AK37" i="11"/>
  <c r="AD37" i="11"/>
  <c r="Y37" i="11"/>
  <c r="X37" i="11"/>
  <c r="W37" i="11"/>
  <c r="V37" i="11"/>
  <c r="T37" i="11"/>
  <c r="S37" i="11"/>
  <c r="Q37" i="11"/>
  <c r="P37" i="11"/>
  <c r="O37" i="11"/>
  <c r="N37" i="11"/>
  <c r="L37" i="11"/>
  <c r="K37" i="11"/>
  <c r="AM36" i="11"/>
  <c r="AM37" i="11" s="1"/>
  <c r="AD36" i="11"/>
  <c r="U36" i="11"/>
  <c r="M36" i="11"/>
  <c r="H36" i="11"/>
  <c r="G36" i="11"/>
  <c r="G37" i="11" s="1"/>
  <c r="F36" i="11"/>
  <c r="F37" i="11" s="1"/>
  <c r="E36" i="11"/>
  <c r="E37" i="11" s="1"/>
  <c r="D36" i="11"/>
  <c r="C36" i="11"/>
  <c r="C37" i="11" s="1"/>
  <c r="B36" i="11"/>
  <c r="AM35" i="11"/>
  <c r="AD35" i="11"/>
  <c r="U35" i="11"/>
  <c r="U37" i="11" s="1"/>
  <c r="M35" i="11"/>
  <c r="M37" i="11" s="1"/>
  <c r="H35" i="11"/>
  <c r="H37" i="11" s="1"/>
  <c r="G35" i="11"/>
  <c r="F35" i="11"/>
  <c r="D35" i="11" s="1"/>
  <c r="E35" i="11"/>
  <c r="C35" i="11"/>
  <c r="B35" i="11"/>
  <c r="B37" i="11" s="1"/>
  <c r="AQ34" i="11"/>
  <c r="AP34" i="11"/>
  <c r="AO34" i="11"/>
  <c r="AN34" i="11"/>
  <c r="AL34" i="11"/>
  <c r="AK34" i="11"/>
  <c r="AH34" i="11"/>
  <c r="AG34" i="11"/>
  <c r="AF34" i="11"/>
  <c r="AE34" i="11"/>
  <c r="AC34" i="11"/>
  <c r="AB34" i="11"/>
  <c r="Y34" i="11"/>
  <c r="X34" i="11"/>
  <c r="W34" i="11"/>
  <c r="V34" i="11"/>
  <c r="U34" i="11"/>
  <c r="T34" i="11"/>
  <c r="S34" i="11"/>
  <c r="Q34" i="11"/>
  <c r="P34" i="11"/>
  <c r="O34" i="11"/>
  <c r="N34" i="11"/>
  <c r="L34" i="11"/>
  <c r="K34" i="11"/>
  <c r="B34" i="11"/>
  <c r="AM33" i="11"/>
  <c r="AM34" i="11" s="1"/>
  <c r="AD33" i="11"/>
  <c r="U33" i="11"/>
  <c r="M33" i="11"/>
  <c r="H33" i="11"/>
  <c r="H34" i="11" s="1"/>
  <c r="G33" i="11"/>
  <c r="G34" i="11" s="1"/>
  <c r="F33" i="11"/>
  <c r="F34" i="11" s="1"/>
  <c r="E33" i="11"/>
  <c r="E34" i="11" s="1"/>
  <c r="C33" i="11"/>
  <c r="B33" i="11"/>
  <c r="AM32" i="11"/>
  <c r="AD32" i="11"/>
  <c r="AD34" i="11" s="1"/>
  <c r="U32" i="11"/>
  <c r="M32" i="11"/>
  <c r="M34" i="11" s="1"/>
  <c r="H32" i="11"/>
  <c r="G32" i="11"/>
  <c r="F32" i="11"/>
  <c r="E32" i="11"/>
  <c r="D32" i="11" s="1"/>
  <c r="C32" i="11"/>
  <c r="C34" i="11" s="1"/>
  <c r="B32" i="11"/>
  <c r="AQ31" i="11"/>
  <c r="AP31" i="11"/>
  <c r="AO31" i="11"/>
  <c r="AN31" i="11"/>
  <c r="AL31" i="11"/>
  <c r="AK31" i="11"/>
  <c r="AH31" i="11"/>
  <c r="AG31" i="11"/>
  <c r="AF31" i="11"/>
  <c r="AE31" i="11"/>
  <c r="AC31" i="11"/>
  <c r="AB31" i="11"/>
  <c r="Y31" i="11"/>
  <c r="X31" i="11"/>
  <c r="W31" i="11"/>
  <c r="V31" i="11"/>
  <c r="T31" i="11"/>
  <c r="S31" i="11"/>
  <c r="Q31" i="11"/>
  <c r="P31" i="11"/>
  <c r="O31" i="11"/>
  <c r="N31" i="11"/>
  <c r="L31" i="11"/>
  <c r="K31" i="11"/>
  <c r="C31" i="11"/>
  <c r="AM30" i="11"/>
  <c r="AD30" i="11"/>
  <c r="AD31" i="11" s="1"/>
  <c r="U30" i="11"/>
  <c r="M30" i="11"/>
  <c r="H30" i="11"/>
  <c r="H31" i="11" s="1"/>
  <c r="G30" i="11"/>
  <c r="G31" i="11" s="1"/>
  <c r="F30" i="11"/>
  <c r="F31" i="11" s="1"/>
  <c r="E30" i="11"/>
  <c r="D30" i="11" s="1"/>
  <c r="D31" i="11" s="1"/>
  <c r="C30" i="11"/>
  <c r="B30" i="11"/>
  <c r="AM29" i="11"/>
  <c r="AM31" i="11" s="1"/>
  <c r="AD29" i="11"/>
  <c r="U29" i="11"/>
  <c r="U31" i="11" s="1"/>
  <c r="M29" i="11"/>
  <c r="M31" i="11" s="1"/>
  <c r="H29" i="11"/>
  <c r="D29" i="11" s="1"/>
  <c r="D20" i="11" s="1"/>
  <c r="G29" i="11"/>
  <c r="F29" i="11"/>
  <c r="E29" i="11"/>
  <c r="C29" i="11"/>
  <c r="B29" i="11"/>
  <c r="B31" i="11" s="1"/>
  <c r="AQ28" i="11"/>
  <c r="AP28" i="11"/>
  <c r="AO28" i="11"/>
  <c r="AN28" i="11"/>
  <c r="AL28" i="11"/>
  <c r="AK28" i="11"/>
  <c r="AH28" i="11"/>
  <c r="AG28" i="11"/>
  <c r="AF28" i="11"/>
  <c r="AE28" i="11"/>
  <c r="AC28" i="11"/>
  <c r="AB28" i="11"/>
  <c r="Y28" i="11"/>
  <c r="X28" i="11"/>
  <c r="W28" i="11"/>
  <c r="V28" i="11"/>
  <c r="T28" i="11"/>
  <c r="S28" i="11"/>
  <c r="Q28" i="11"/>
  <c r="P28" i="11"/>
  <c r="O28" i="11"/>
  <c r="N28" i="11"/>
  <c r="L28" i="11"/>
  <c r="K28" i="11"/>
  <c r="E28" i="11"/>
  <c r="AM27" i="11"/>
  <c r="AM28" i="11" s="1"/>
  <c r="AD27" i="11"/>
  <c r="U27" i="11"/>
  <c r="U28" i="11" s="1"/>
  <c r="M27" i="11"/>
  <c r="M28" i="11" s="1"/>
  <c r="H27" i="11"/>
  <c r="H28" i="11" s="1"/>
  <c r="G27" i="11"/>
  <c r="G28" i="11" s="1"/>
  <c r="F27" i="11"/>
  <c r="D27" i="11" s="1"/>
  <c r="D28" i="11" s="1"/>
  <c r="E27" i="11"/>
  <c r="C27" i="11"/>
  <c r="B27" i="11"/>
  <c r="B28" i="11" s="1"/>
  <c r="AM26" i="11"/>
  <c r="AD26" i="11"/>
  <c r="AD28" i="11" s="1"/>
  <c r="U26" i="11"/>
  <c r="M26" i="11"/>
  <c r="H26" i="11"/>
  <c r="G26" i="11"/>
  <c r="F26" i="11"/>
  <c r="E26" i="11"/>
  <c r="D26" i="11"/>
  <c r="C26" i="11"/>
  <c r="C28" i="11" s="1"/>
  <c r="B26" i="11"/>
  <c r="AQ25" i="11"/>
  <c r="AP25" i="11"/>
  <c r="AO25" i="11"/>
  <c r="AN25" i="11"/>
  <c r="AL25" i="11"/>
  <c r="AK25" i="11"/>
  <c r="AH25" i="11"/>
  <c r="AG25" i="11"/>
  <c r="AF25" i="11"/>
  <c r="AE25" i="11"/>
  <c r="AC25" i="11"/>
  <c r="AB25" i="11"/>
  <c r="Y25" i="11"/>
  <c r="X25" i="11"/>
  <c r="W25" i="11"/>
  <c r="V25" i="11"/>
  <c r="T25" i="11"/>
  <c r="S25" i="11"/>
  <c r="Q25" i="11"/>
  <c r="P25" i="11"/>
  <c r="O25" i="11"/>
  <c r="N25" i="11"/>
  <c r="M25" i="11" s="1"/>
  <c r="L25" i="11"/>
  <c r="K25" i="11"/>
  <c r="G25" i="11"/>
  <c r="F25" i="11"/>
  <c r="E25" i="11"/>
  <c r="AM24" i="11"/>
  <c r="AD24" i="11"/>
  <c r="AD25" i="11" s="1"/>
  <c r="U24" i="11"/>
  <c r="U25" i="11" s="1"/>
  <c r="M24" i="11"/>
  <c r="H24" i="11"/>
  <c r="H25" i="11" s="1"/>
  <c r="G24" i="11"/>
  <c r="F24" i="11"/>
  <c r="E24" i="11"/>
  <c r="D24" i="11" s="1"/>
  <c r="C24" i="11"/>
  <c r="C25" i="11" s="1"/>
  <c r="B24" i="11"/>
  <c r="B25" i="11" s="1"/>
  <c r="AM23" i="11"/>
  <c r="AM20" i="11" s="1"/>
  <c r="AM9" i="11" s="1"/>
  <c r="AD23" i="11"/>
  <c r="AD20" i="11" s="1"/>
  <c r="AD9" i="11" s="1"/>
  <c r="U23" i="11"/>
  <c r="U20" i="11" s="1"/>
  <c r="U9" i="11" s="1"/>
  <c r="M23" i="11"/>
  <c r="H23" i="11"/>
  <c r="G23" i="11"/>
  <c r="F23" i="11"/>
  <c r="E23" i="11"/>
  <c r="D23" i="11"/>
  <c r="C23" i="11"/>
  <c r="B23" i="11"/>
  <c r="AL22" i="11"/>
  <c r="AK22" i="11"/>
  <c r="AB22" i="11"/>
  <c r="Y22" i="11"/>
  <c r="Q22" i="11"/>
  <c r="P22" i="11"/>
  <c r="AQ21" i="11"/>
  <c r="AQ22" i="11" s="1"/>
  <c r="AP21" i="11"/>
  <c r="AP10" i="11" s="1"/>
  <c r="AP11" i="11" s="1"/>
  <c r="AO21" i="11"/>
  <c r="AO10" i="11" s="1"/>
  <c r="AO11" i="11" s="1"/>
  <c r="AN21" i="11"/>
  <c r="AN22" i="11" s="1"/>
  <c r="AL21" i="11"/>
  <c r="AK21" i="11"/>
  <c r="AH21" i="11"/>
  <c r="AG21" i="11"/>
  <c r="AG22" i="11" s="1"/>
  <c r="AF21" i="11"/>
  <c r="AF10" i="11" s="1"/>
  <c r="AF11" i="11" s="1"/>
  <c r="AE21" i="11"/>
  <c r="AE10" i="11" s="1"/>
  <c r="AE11" i="11" s="1"/>
  <c r="AD21" i="11"/>
  <c r="AC21" i="11"/>
  <c r="AC10" i="11" s="1"/>
  <c r="AC11" i="11" s="1"/>
  <c r="AB21" i="11"/>
  <c r="Y21" i="11"/>
  <c r="X21" i="11"/>
  <c r="W21" i="11"/>
  <c r="W22" i="11" s="1"/>
  <c r="V21" i="11"/>
  <c r="V10" i="11" s="1"/>
  <c r="U21" i="11"/>
  <c r="U10" i="11" s="1"/>
  <c r="T21" i="11"/>
  <c r="T22" i="11" s="1"/>
  <c r="S21" i="11"/>
  <c r="S10" i="11" s="1"/>
  <c r="S11" i="11" s="1"/>
  <c r="Q21" i="11"/>
  <c r="P21" i="11"/>
  <c r="G21" i="11" s="1"/>
  <c r="O21" i="11"/>
  <c r="N21" i="11"/>
  <c r="N22" i="11" s="1"/>
  <c r="M21" i="11"/>
  <c r="L21" i="11"/>
  <c r="L10" i="11" s="1"/>
  <c r="K21" i="11"/>
  <c r="K22" i="11" s="1"/>
  <c r="H21" i="11"/>
  <c r="AQ20" i="11"/>
  <c r="AQ9" i="11" s="1"/>
  <c r="AP20" i="11"/>
  <c r="AP9" i="11" s="1"/>
  <c r="AO20" i="11"/>
  <c r="AN20" i="11"/>
  <c r="AL20" i="11"/>
  <c r="AK20" i="11"/>
  <c r="AK9" i="11" s="1"/>
  <c r="AH20" i="11"/>
  <c r="AH9" i="11" s="1"/>
  <c r="AG20" i="11"/>
  <c r="AG9" i="11" s="1"/>
  <c r="AF20" i="11"/>
  <c r="AF9" i="11" s="1"/>
  <c r="AE20" i="11"/>
  <c r="AC20" i="11"/>
  <c r="AB20" i="11"/>
  <c r="Y20" i="11"/>
  <c r="Y9" i="11" s="1"/>
  <c r="H9" i="11" s="1"/>
  <c r="X20" i="11"/>
  <c r="X9" i="11" s="1"/>
  <c r="W20" i="11"/>
  <c r="W9" i="11" s="1"/>
  <c r="V20" i="11"/>
  <c r="V9" i="11" s="1"/>
  <c r="T20" i="11"/>
  <c r="S20" i="11"/>
  <c r="Q20" i="11"/>
  <c r="H20" i="11" s="1"/>
  <c r="P20" i="11"/>
  <c r="P9" i="11" s="1"/>
  <c r="O20" i="11"/>
  <c r="O9" i="11" s="1"/>
  <c r="F9" i="11" s="1"/>
  <c r="N20" i="11"/>
  <c r="N9" i="11" s="1"/>
  <c r="E9" i="11" s="1"/>
  <c r="L20" i="11"/>
  <c r="K20" i="11"/>
  <c r="B20" i="11" s="1"/>
  <c r="C20" i="11"/>
  <c r="D19" i="11"/>
  <c r="H18" i="11"/>
  <c r="G18" i="11"/>
  <c r="F18" i="11"/>
  <c r="E18" i="11"/>
  <c r="D18" i="11"/>
  <c r="C18" i="11"/>
  <c r="B18" i="11"/>
  <c r="AM17" i="11"/>
  <c r="M17" i="11"/>
  <c r="H17" i="11"/>
  <c r="G17" i="11"/>
  <c r="F17" i="11"/>
  <c r="E17" i="11"/>
  <c r="D17" i="11" s="1"/>
  <c r="C17" i="11"/>
  <c r="B17" i="11"/>
  <c r="AM16" i="11"/>
  <c r="M16" i="11"/>
  <c r="H16" i="11"/>
  <c r="G16" i="11"/>
  <c r="F16" i="11"/>
  <c r="E16" i="11"/>
  <c r="D16" i="11" s="1"/>
  <c r="C16" i="11"/>
  <c r="B16" i="11"/>
  <c r="AQ15" i="11"/>
  <c r="AP15" i="11"/>
  <c r="AO15" i="11"/>
  <c r="AN15" i="11"/>
  <c r="AL15" i="11"/>
  <c r="AK15" i="11"/>
  <c r="AH15" i="11"/>
  <c r="AG15" i="11"/>
  <c r="AF15" i="11"/>
  <c r="AE15" i="11"/>
  <c r="AD15" i="11"/>
  <c r="AC15" i="11"/>
  <c r="AB15" i="11"/>
  <c r="Y15" i="11"/>
  <c r="X15" i="11"/>
  <c r="W15" i="11"/>
  <c r="V15" i="11"/>
  <c r="U15" i="11"/>
  <c r="T15" i="11"/>
  <c r="S15" i="11"/>
  <c r="Q15" i="11"/>
  <c r="P15" i="11"/>
  <c r="O15" i="11"/>
  <c r="N15" i="11"/>
  <c r="M15" i="11"/>
  <c r="L15" i="11"/>
  <c r="K15" i="11"/>
  <c r="B15" i="11"/>
  <c r="AM14" i="11"/>
  <c r="AD14" i="11"/>
  <c r="AD10" i="11" s="1"/>
  <c r="U14" i="11"/>
  <c r="M14" i="11"/>
  <c r="H14" i="11"/>
  <c r="G14" i="11"/>
  <c r="G15" i="11" s="1"/>
  <c r="F14" i="11"/>
  <c r="F15" i="11" s="1"/>
  <c r="E14" i="11"/>
  <c r="E15" i="11" s="1"/>
  <c r="D14" i="11"/>
  <c r="D15" i="11" s="1"/>
  <c r="C14" i="11"/>
  <c r="C15" i="11" s="1"/>
  <c r="B14" i="11"/>
  <c r="AM13" i="11"/>
  <c r="AD13" i="11"/>
  <c r="U13" i="11"/>
  <c r="M13" i="11"/>
  <c r="H13" i="11"/>
  <c r="H15" i="11" s="1"/>
  <c r="G13" i="11"/>
  <c r="F13" i="11"/>
  <c r="D13" i="11" s="1"/>
  <c r="E13" i="11"/>
  <c r="C13" i="11"/>
  <c r="B13" i="11"/>
  <c r="AQ10" i="11"/>
  <c r="AQ11" i="11" s="1"/>
  <c r="AL10" i="11"/>
  <c r="AL11" i="11" s="1"/>
  <c r="AK10" i="11"/>
  <c r="AH10" i="11"/>
  <c r="AH11" i="11" s="1"/>
  <c r="AG10" i="11"/>
  <c r="AG11" i="11" s="1"/>
  <c r="AB10" i="11"/>
  <c r="AB11" i="11" s="1"/>
  <c r="Y10" i="11"/>
  <c r="X10" i="11"/>
  <c r="W10" i="11"/>
  <c r="W11" i="11" s="1"/>
  <c r="Q10" i="11"/>
  <c r="Q11" i="11" s="1"/>
  <c r="P10" i="11"/>
  <c r="O10" i="11"/>
  <c r="O11" i="11" s="1"/>
  <c r="N10" i="11"/>
  <c r="M10" i="11" s="1"/>
  <c r="AO9" i="11"/>
  <c r="AN9" i="11"/>
  <c r="AL9" i="11"/>
  <c r="AE9" i="11"/>
  <c r="AC9" i="11"/>
  <c r="AB9" i="11"/>
  <c r="T9" i="11"/>
  <c r="S9" i="11"/>
  <c r="Q9" i="11"/>
  <c r="L9" i="11"/>
  <c r="C9" i="11" s="1"/>
  <c r="K9" i="11"/>
  <c r="P11" i="11" l="1"/>
  <c r="AK11" i="11"/>
  <c r="V11" i="11"/>
  <c r="AM10" i="11"/>
  <c r="AM11" i="11" s="1"/>
  <c r="B9" i="11"/>
  <c r="X11" i="11"/>
  <c r="Y11" i="11"/>
  <c r="D25" i="11"/>
  <c r="D37" i="11"/>
  <c r="U11" i="11"/>
  <c r="H22" i="11"/>
  <c r="C10" i="11"/>
  <c r="C11" i="11" s="1"/>
  <c r="L11" i="11"/>
  <c r="G9" i="11"/>
  <c r="D9" i="11"/>
  <c r="AD11" i="11"/>
  <c r="AD22" i="11"/>
  <c r="AM15" i="11"/>
  <c r="M20" i="11"/>
  <c r="M9" i="11" s="1"/>
  <c r="M11" i="11" s="1"/>
  <c r="AM21" i="11"/>
  <c r="AM22" i="11" s="1"/>
  <c r="O22" i="11"/>
  <c r="X22" i="11"/>
  <c r="AH22" i="11"/>
  <c r="D33" i="11"/>
  <c r="D34" i="11" s="1"/>
  <c r="F10" i="11"/>
  <c r="F11" i="11" s="1"/>
  <c r="B21" i="11"/>
  <c r="B22" i="11" s="1"/>
  <c r="F20" i="11"/>
  <c r="C21" i="11"/>
  <c r="C22" i="11" s="1"/>
  <c r="S22" i="11"/>
  <c r="AC22" i="11"/>
  <c r="F28" i="11"/>
  <c r="E31" i="11"/>
  <c r="H10" i="11"/>
  <c r="H11" i="11" s="1"/>
  <c r="AM25" i="11"/>
  <c r="E20" i="11"/>
  <c r="G10" i="11"/>
  <c r="G11" i="11" s="1"/>
  <c r="K10" i="11"/>
  <c r="T10" i="11"/>
  <c r="T11" i="11" s="1"/>
  <c r="AN10" i="11"/>
  <c r="AN11" i="11" s="1"/>
  <c r="E21" i="11"/>
  <c r="L22" i="11"/>
  <c r="U22" i="11"/>
  <c r="AE22" i="11"/>
  <c r="AO22" i="11"/>
  <c r="G20" i="11"/>
  <c r="G22" i="11" s="1"/>
  <c r="F21" i="11"/>
  <c r="V22" i="11"/>
  <c r="AF22" i="11"/>
  <c r="AP22" i="11"/>
  <c r="N11" i="11"/>
  <c r="D21" i="11" l="1"/>
  <c r="D22" i="11" s="1"/>
  <c r="E22" i="11"/>
  <c r="E10" i="11"/>
  <c r="F22" i="11"/>
  <c r="M22" i="11"/>
  <c r="B10" i="11"/>
  <c r="B11" i="11" s="1"/>
  <c r="K11" i="11"/>
  <c r="E11" i="11" l="1"/>
  <c r="D10" i="11"/>
  <c r="D11" i="11" s="1"/>
  <c r="AH40" i="10" l="1"/>
  <c r="AG40" i="10"/>
  <c r="AF40" i="10"/>
  <c r="AE40" i="10"/>
  <c r="AC40" i="10"/>
  <c r="AB40" i="10"/>
  <c r="Y40" i="10"/>
  <c r="T40" i="10"/>
  <c r="Q40" i="10"/>
  <c r="P40" i="10"/>
  <c r="L40" i="10"/>
  <c r="K40" i="10"/>
  <c r="AD39" i="10"/>
  <c r="AD40" i="10" s="1"/>
  <c r="Y39" i="10"/>
  <c r="X39" i="10"/>
  <c r="X40" i="10" s="1"/>
  <c r="W39" i="10"/>
  <c r="W40" i="10" s="1"/>
  <c r="V39" i="10"/>
  <c r="V40" i="10" s="1"/>
  <c r="T39" i="10"/>
  <c r="S39" i="10"/>
  <c r="B39" i="10" s="1"/>
  <c r="B40" i="10" s="1"/>
  <c r="Q39" i="10"/>
  <c r="H39" i="10" s="1"/>
  <c r="H40" i="10" s="1"/>
  <c r="P39" i="10"/>
  <c r="O39" i="10"/>
  <c r="O40" i="10" s="1"/>
  <c r="N39" i="10"/>
  <c r="M39" i="10" s="1"/>
  <c r="M40" i="10" s="1"/>
  <c r="L39" i="10"/>
  <c r="C39" i="10" s="1"/>
  <c r="C40" i="10" s="1"/>
  <c r="K39" i="10"/>
  <c r="AD38" i="10"/>
  <c r="U38" i="10"/>
  <c r="M38" i="10"/>
  <c r="H38" i="10"/>
  <c r="G38" i="10"/>
  <c r="F38" i="10"/>
  <c r="D38" i="10" s="1"/>
  <c r="E38" i="10"/>
  <c r="C38" i="10"/>
  <c r="B38" i="10"/>
  <c r="AD37" i="10"/>
  <c r="X37" i="10"/>
  <c r="W37" i="10"/>
  <c r="S37" i="10"/>
  <c r="Q37" i="10"/>
  <c r="P37" i="10"/>
  <c r="O37" i="10"/>
  <c r="N37" i="10"/>
  <c r="L37" i="10"/>
  <c r="K37" i="10"/>
  <c r="AD36" i="10"/>
  <c r="Y36" i="10"/>
  <c r="Y37" i="10" s="1"/>
  <c r="X36" i="10"/>
  <c r="W36" i="10"/>
  <c r="V36" i="10"/>
  <c r="V37" i="10" s="1"/>
  <c r="U36" i="10"/>
  <c r="U37" i="10" s="1"/>
  <c r="T36" i="10"/>
  <c r="T37" i="10" s="1"/>
  <c r="S36" i="10"/>
  <c r="M36" i="10"/>
  <c r="M37" i="10" s="1"/>
  <c r="H36" i="10"/>
  <c r="H37" i="10" s="1"/>
  <c r="G36" i="10"/>
  <c r="G37" i="10" s="1"/>
  <c r="F36" i="10"/>
  <c r="F37" i="10" s="1"/>
  <c r="E36" i="10"/>
  <c r="E37" i="10" s="1"/>
  <c r="D36" i="10"/>
  <c r="C36" i="10"/>
  <c r="C37" i="10" s="1"/>
  <c r="B36" i="10"/>
  <c r="B37" i="10" s="1"/>
  <c r="AD35" i="10"/>
  <c r="U35" i="10"/>
  <c r="H35" i="10"/>
  <c r="G35" i="10"/>
  <c r="F35" i="10"/>
  <c r="E35" i="10"/>
  <c r="D35" i="10" s="1"/>
  <c r="C35" i="10"/>
  <c r="B35" i="10"/>
  <c r="AH34" i="10"/>
  <c r="AG34" i="10"/>
  <c r="AF34" i="10"/>
  <c r="AE34" i="10"/>
  <c r="AD34" i="10"/>
  <c r="AC34" i="10"/>
  <c r="AB34" i="10"/>
  <c r="Y34" i="10"/>
  <c r="X34" i="10"/>
  <c r="W34" i="10"/>
  <c r="V34" i="10"/>
  <c r="T34" i="10"/>
  <c r="S34" i="10"/>
  <c r="M34" i="10"/>
  <c r="C34" i="10"/>
  <c r="AD33" i="10"/>
  <c r="U33" i="10"/>
  <c r="M33" i="10"/>
  <c r="H33" i="10"/>
  <c r="H34" i="10" s="1"/>
  <c r="G33" i="10"/>
  <c r="F33" i="10"/>
  <c r="F34" i="10" s="1"/>
  <c r="E33" i="10"/>
  <c r="D33" i="10" s="1"/>
  <c r="C33" i="10"/>
  <c r="B33" i="10"/>
  <c r="B34" i="10" s="1"/>
  <c r="AD32" i="10"/>
  <c r="U32" i="10"/>
  <c r="U34" i="10" s="1"/>
  <c r="M32" i="10"/>
  <c r="H32" i="10"/>
  <c r="G32" i="10"/>
  <c r="G34" i="10" s="1"/>
  <c r="F32" i="10"/>
  <c r="E32" i="10"/>
  <c r="D32" i="10" s="1"/>
  <c r="C32" i="10"/>
  <c r="B32" i="10"/>
  <c r="AH31" i="10"/>
  <c r="AG31" i="10"/>
  <c r="AF31" i="10"/>
  <c r="AE31" i="10"/>
  <c r="AC31" i="10"/>
  <c r="AB31" i="10"/>
  <c r="Y31" i="10"/>
  <c r="V31" i="10"/>
  <c r="Q31" i="10"/>
  <c r="P31" i="10"/>
  <c r="AD30" i="10"/>
  <c r="AD31" i="10" s="1"/>
  <c r="Y30" i="10"/>
  <c r="X30" i="10"/>
  <c r="G30" i="10" s="1"/>
  <c r="G31" i="10" s="1"/>
  <c r="W30" i="10"/>
  <c r="W31" i="10" s="1"/>
  <c r="V30" i="10"/>
  <c r="T30" i="10"/>
  <c r="T31" i="10" s="1"/>
  <c r="S30" i="10"/>
  <c r="S31" i="10" s="1"/>
  <c r="Q30" i="10"/>
  <c r="H30" i="10" s="1"/>
  <c r="H31" i="10" s="1"/>
  <c r="P30" i="10"/>
  <c r="O30" i="10"/>
  <c r="F30" i="10" s="1"/>
  <c r="F31" i="10" s="1"/>
  <c r="N30" i="10"/>
  <c r="E30" i="10" s="1"/>
  <c r="L30" i="10"/>
  <c r="L31" i="10" s="1"/>
  <c r="K30" i="10"/>
  <c r="K31" i="10" s="1"/>
  <c r="AD29" i="10"/>
  <c r="AD20" i="10" s="1"/>
  <c r="AD9" i="10" s="1"/>
  <c r="U29" i="10"/>
  <c r="M29" i="10"/>
  <c r="H29" i="10"/>
  <c r="G29" i="10"/>
  <c r="F29" i="10"/>
  <c r="D29" i="10" s="1"/>
  <c r="E29" i="10"/>
  <c r="C29" i="10"/>
  <c r="B29" i="10"/>
  <c r="AH28" i="10"/>
  <c r="AG28" i="10"/>
  <c r="AF28" i="10"/>
  <c r="AE28" i="10"/>
  <c r="AC28" i="10"/>
  <c r="AB28" i="10"/>
  <c r="V28" i="10"/>
  <c r="Q28" i="10"/>
  <c r="L28" i="10"/>
  <c r="AD27" i="10"/>
  <c r="AD28" i="10" s="1"/>
  <c r="Y27" i="10"/>
  <c r="Y28" i="10" s="1"/>
  <c r="X27" i="10"/>
  <c r="X28" i="10" s="1"/>
  <c r="W27" i="10"/>
  <c r="W28" i="10" s="1"/>
  <c r="V27" i="10"/>
  <c r="V21" i="10" s="1"/>
  <c r="T27" i="10"/>
  <c r="C27" i="10" s="1"/>
  <c r="C28" i="10" s="1"/>
  <c r="S27" i="10"/>
  <c r="S21" i="10" s="1"/>
  <c r="Q27" i="10"/>
  <c r="P27" i="10"/>
  <c r="P28" i="10" s="1"/>
  <c r="O27" i="10"/>
  <c r="O28" i="10" s="1"/>
  <c r="N27" i="10"/>
  <c r="N28" i="10" s="1"/>
  <c r="L27" i="10"/>
  <c r="K27" i="10"/>
  <c r="B27" i="10" s="1"/>
  <c r="B28" i="10" s="1"/>
  <c r="H27" i="10"/>
  <c r="H28" i="10" s="1"/>
  <c r="E27" i="10"/>
  <c r="AD26" i="10"/>
  <c r="U26" i="10"/>
  <c r="M26" i="10"/>
  <c r="H26" i="10"/>
  <c r="G26" i="10"/>
  <c r="F26" i="10"/>
  <c r="E26" i="10"/>
  <c r="D26" i="10" s="1"/>
  <c r="C26" i="10"/>
  <c r="B26" i="10"/>
  <c r="AD25" i="10"/>
  <c r="Y25" i="10"/>
  <c r="X25" i="10"/>
  <c r="W25" i="10"/>
  <c r="V25" i="10"/>
  <c r="T25" i="10"/>
  <c r="S25" i="10"/>
  <c r="M25" i="10"/>
  <c r="H25" i="10"/>
  <c r="G25" i="10"/>
  <c r="AD24" i="10"/>
  <c r="U24" i="10"/>
  <c r="M24" i="10"/>
  <c r="H24" i="10"/>
  <c r="G24" i="10"/>
  <c r="F24" i="10"/>
  <c r="F25" i="10" s="1"/>
  <c r="E24" i="10"/>
  <c r="E25" i="10" s="1"/>
  <c r="D24" i="10"/>
  <c r="C24" i="10"/>
  <c r="B24" i="10"/>
  <c r="U23" i="10"/>
  <c r="U20" i="10" s="1"/>
  <c r="U9" i="10" s="1"/>
  <c r="M23" i="10"/>
  <c r="H23" i="10"/>
  <c r="G23" i="10"/>
  <c r="F23" i="10"/>
  <c r="E23" i="10"/>
  <c r="D23" i="10" s="1"/>
  <c r="D20" i="10" s="1"/>
  <c r="C23" i="10"/>
  <c r="C25" i="10" s="1"/>
  <c r="B23" i="10"/>
  <c r="B25" i="10" s="1"/>
  <c r="AE22" i="10"/>
  <c r="AH21" i="10"/>
  <c r="AH22" i="10" s="1"/>
  <c r="AG21" i="10"/>
  <c r="AG10" i="10" s="1"/>
  <c r="AG11" i="10" s="1"/>
  <c r="AF21" i="10"/>
  <c r="AF22" i="10" s="1"/>
  <c r="AE21" i="10"/>
  <c r="AE10" i="10" s="1"/>
  <c r="AE11" i="10" s="1"/>
  <c r="AC21" i="10"/>
  <c r="AC22" i="10" s="1"/>
  <c r="AB21" i="10"/>
  <c r="AB10" i="10" s="1"/>
  <c r="AB11" i="10" s="1"/>
  <c r="W21" i="10"/>
  <c r="W10" i="10" s="1"/>
  <c r="W11" i="10" s="1"/>
  <c r="Q21" i="10"/>
  <c r="N21" i="10"/>
  <c r="N10" i="10" s="1"/>
  <c r="AH20" i="10"/>
  <c r="AG20" i="10"/>
  <c r="AF20" i="10"/>
  <c r="AF9" i="10" s="1"/>
  <c r="AE20" i="10"/>
  <c r="AC20" i="10"/>
  <c r="AC9" i="10" s="1"/>
  <c r="AB20" i="10"/>
  <c r="Y20" i="10"/>
  <c r="Y9" i="10" s="1"/>
  <c r="X20" i="10"/>
  <c r="W20" i="10"/>
  <c r="F20" i="10" s="1"/>
  <c r="V20" i="10"/>
  <c r="V9" i="10" s="1"/>
  <c r="T20" i="10"/>
  <c r="S20" i="10"/>
  <c r="S9" i="10" s="1"/>
  <c r="Q20" i="10"/>
  <c r="P20" i="10"/>
  <c r="G20" i="10" s="1"/>
  <c r="O20" i="10"/>
  <c r="N20" i="10"/>
  <c r="E20" i="10" s="1"/>
  <c r="M20" i="10"/>
  <c r="M9" i="10" s="1"/>
  <c r="L20" i="10"/>
  <c r="K20" i="10"/>
  <c r="B20" i="10" s="1"/>
  <c r="H20" i="10"/>
  <c r="C20" i="10"/>
  <c r="M19" i="10"/>
  <c r="D19" i="10"/>
  <c r="M18" i="10"/>
  <c r="H18" i="10"/>
  <c r="G18" i="10"/>
  <c r="F18" i="10"/>
  <c r="E18" i="10"/>
  <c r="D18" i="10" s="1"/>
  <c r="C18" i="10"/>
  <c r="B18" i="10"/>
  <c r="M17" i="10"/>
  <c r="H17" i="10"/>
  <c r="G17" i="10"/>
  <c r="F17" i="10"/>
  <c r="E17" i="10"/>
  <c r="D17" i="10" s="1"/>
  <c r="C17" i="10"/>
  <c r="B17" i="10"/>
  <c r="AD16" i="10"/>
  <c r="U16" i="10"/>
  <c r="M16" i="10"/>
  <c r="H16" i="10"/>
  <c r="G16" i="10"/>
  <c r="F16" i="10"/>
  <c r="E16" i="10"/>
  <c r="D16" i="10"/>
  <c r="C16" i="10"/>
  <c r="B16" i="10"/>
  <c r="AH15" i="10"/>
  <c r="AG15" i="10"/>
  <c r="AF15" i="10"/>
  <c r="AE15" i="10"/>
  <c r="AC15" i="10"/>
  <c r="AB15" i="10"/>
  <c r="Y15" i="10"/>
  <c r="X15" i="10"/>
  <c r="W15" i="10"/>
  <c r="V15" i="10"/>
  <c r="T15" i="10"/>
  <c r="S15" i="10"/>
  <c r="Q15" i="10"/>
  <c r="P15" i="10"/>
  <c r="O15" i="10"/>
  <c r="N15" i="10"/>
  <c r="M15" i="10"/>
  <c r="L15" i="10"/>
  <c r="K15" i="10"/>
  <c r="H15" i="10"/>
  <c r="C15" i="10"/>
  <c r="AD14" i="10"/>
  <c r="U14" i="10"/>
  <c r="M14" i="10"/>
  <c r="H14" i="10"/>
  <c r="G14" i="10"/>
  <c r="G15" i="10" s="1"/>
  <c r="F14" i="10"/>
  <c r="F15" i="10" s="1"/>
  <c r="E14" i="10"/>
  <c r="E15" i="10" s="1"/>
  <c r="C14" i="10"/>
  <c r="B14" i="10"/>
  <c r="B15" i="10" s="1"/>
  <c r="AD13" i="10"/>
  <c r="U13" i="10"/>
  <c r="M13" i="10"/>
  <c r="H13" i="10"/>
  <c r="G13" i="10"/>
  <c r="F13" i="10"/>
  <c r="E13" i="10"/>
  <c r="D13" i="10"/>
  <c r="C13" i="10"/>
  <c r="B13" i="10"/>
  <c r="M12" i="10"/>
  <c r="AH10" i="10"/>
  <c r="AH11" i="10" s="1"/>
  <c r="AF10" i="10"/>
  <c r="AC10" i="10"/>
  <c r="AC11" i="10" s="1"/>
  <c r="AH9" i="10"/>
  <c r="AG9" i="10"/>
  <c r="AE9" i="10"/>
  <c r="AB9" i="10"/>
  <c r="X9" i="10"/>
  <c r="W9" i="10"/>
  <c r="T9" i="10"/>
  <c r="Q9" i="10"/>
  <c r="H9" i="10" s="1"/>
  <c r="O9" i="10"/>
  <c r="F9" i="10" s="1"/>
  <c r="N9" i="10"/>
  <c r="L9" i="10"/>
  <c r="C9" i="10" s="1"/>
  <c r="K9" i="10"/>
  <c r="D25" i="10" l="1"/>
  <c r="AF11" i="10"/>
  <c r="B9" i="10"/>
  <c r="V10" i="10"/>
  <c r="V11" i="10" s="1"/>
  <c r="V22" i="10"/>
  <c r="N11" i="10"/>
  <c r="E10" i="10"/>
  <c r="D30" i="10"/>
  <c r="D31" i="10" s="1"/>
  <c r="E31" i="10"/>
  <c r="D37" i="10"/>
  <c r="S10" i="10"/>
  <c r="S11" i="10" s="1"/>
  <c r="S22" i="10"/>
  <c r="E9" i="10"/>
  <c r="D9" i="10"/>
  <c r="AD15" i="10"/>
  <c r="E21" i="10"/>
  <c r="O21" i="10"/>
  <c r="X21" i="10"/>
  <c r="AB22" i="10"/>
  <c r="F27" i="10"/>
  <c r="F28" i="10" s="1"/>
  <c r="S28" i="10"/>
  <c r="B30" i="10"/>
  <c r="B31" i="10" s="1"/>
  <c r="U30" i="10"/>
  <c r="U31" i="10" s="1"/>
  <c r="N31" i="10"/>
  <c r="E39" i="10"/>
  <c r="Q10" i="10"/>
  <c r="D14" i="10"/>
  <c r="D15" i="10" s="1"/>
  <c r="U15" i="10"/>
  <c r="P21" i="10"/>
  <c r="Y21" i="10"/>
  <c r="H21" i="10" s="1"/>
  <c r="H22" i="10" s="1"/>
  <c r="G27" i="10"/>
  <c r="G28" i="10" s="1"/>
  <c r="K28" i="10"/>
  <c r="T28" i="10"/>
  <c r="C30" i="10"/>
  <c r="C31" i="10" s="1"/>
  <c r="M30" i="10"/>
  <c r="M31" i="10" s="1"/>
  <c r="O31" i="10"/>
  <c r="X31" i="10"/>
  <c r="E34" i="10"/>
  <c r="D34" i="10" s="1"/>
  <c r="F39" i="10"/>
  <c r="F40" i="10" s="1"/>
  <c r="S40" i="10"/>
  <c r="G39" i="10"/>
  <c r="G40" i="10" s="1"/>
  <c r="P9" i="10"/>
  <c r="G9" i="10" s="1"/>
  <c r="K21" i="10"/>
  <c r="T21" i="10"/>
  <c r="AD21" i="10"/>
  <c r="AD22" i="10" s="1"/>
  <c r="U25" i="10"/>
  <c r="U27" i="10"/>
  <c r="U28" i="10" s="1"/>
  <c r="L21" i="10"/>
  <c r="W22" i="10"/>
  <c r="AG22" i="10"/>
  <c r="M27" i="10"/>
  <c r="E28" i="10"/>
  <c r="U39" i="10"/>
  <c r="U40" i="10" s="1"/>
  <c r="N40" i="10"/>
  <c r="F21" i="10" l="1"/>
  <c r="F22" i="10" s="1"/>
  <c r="O10" i="10"/>
  <c r="C21" i="10"/>
  <c r="C22" i="10" s="1"/>
  <c r="L10" i="10"/>
  <c r="E22" i="10"/>
  <c r="M21" i="10"/>
  <c r="M28" i="10"/>
  <c r="Q11" i="10"/>
  <c r="X22" i="10"/>
  <c r="X10" i="10"/>
  <c r="X11" i="10" s="1"/>
  <c r="D27" i="10"/>
  <c r="D28" i="10" s="1"/>
  <c r="E40" i="10"/>
  <c r="D39" i="10"/>
  <c r="D40" i="10" s="1"/>
  <c r="K10" i="10"/>
  <c r="B21" i="10"/>
  <c r="B22" i="10" s="1"/>
  <c r="Y10" i="10"/>
  <c r="Y11" i="10" s="1"/>
  <c r="Y22" i="10"/>
  <c r="AD10" i="10"/>
  <c r="AD11" i="10" s="1"/>
  <c r="U21" i="10"/>
  <c r="G21" i="10"/>
  <c r="G22" i="10" s="1"/>
  <c r="P10" i="10"/>
  <c r="T10" i="10"/>
  <c r="T11" i="10" s="1"/>
  <c r="T22" i="10"/>
  <c r="E11" i="10"/>
  <c r="M10" i="10" l="1"/>
  <c r="M11" i="10" s="1"/>
  <c r="M22" i="10"/>
  <c r="U22" i="10"/>
  <c r="U10" i="10"/>
  <c r="U11" i="10" s="1"/>
  <c r="B10" i="10"/>
  <c r="B11" i="10" s="1"/>
  <c r="K11" i="10"/>
  <c r="P11" i="10"/>
  <c r="G10" i="10"/>
  <c r="G11" i="10" s="1"/>
  <c r="D21" i="10"/>
  <c r="D22" i="10" s="1"/>
  <c r="H10" i="10"/>
  <c r="H11" i="10" s="1"/>
  <c r="O11" i="10"/>
  <c r="F10" i="10"/>
  <c r="C10" i="10"/>
  <c r="C11" i="10" s="1"/>
  <c r="L11" i="10"/>
  <c r="F11" i="10" l="1"/>
  <c r="D10" i="10"/>
  <c r="D11" i="10" s="1"/>
  <c r="AQ40" i="7" l="1"/>
  <c r="AP40" i="7"/>
  <c r="AO40" i="7"/>
  <c r="AL40" i="7"/>
  <c r="AK40" i="7"/>
  <c r="AH40" i="7"/>
  <c r="AG40" i="7"/>
  <c r="AF40" i="7"/>
  <c r="AE40" i="7"/>
  <c r="AC40" i="7"/>
  <c r="AB40" i="7"/>
  <c r="Y40" i="7"/>
  <c r="X40" i="7"/>
  <c r="W40" i="7"/>
  <c r="V40" i="7"/>
  <c r="T40" i="7"/>
  <c r="S40" i="7"/>
  <c r="Q40" i="7"/>
  <c r="P40" i="7"/>
  <c r="O40" i="7"/>
  <c r="N40" i="7"/>
  <c r="L40" i="7"/>
  <c r="K40" i="7"/>
  <c r="F40" i="7"/>
  <c r="C40" i="7"/>
  <c r="AM39" i="7"/>
  <c r="AM40" i="7" s="1"/>
  <c r="AD39" i="7"/>
  <c r="AD40" i="7" s="1"/>
  <c r="U39" i="7"/>
  <c r="U40" i="7" s="1"/>
  <c r="M39" i="7"/>
  <c r="M40" i="7" s="1"/>
  <c r="H39" i="7"/>
  <c r="H40" i="7" s="1"/>
  <c r="G39" i="7"/>
  <c r="G40" i="7" s="1"/>
  <c r="F39" i="7"/>
  <c r="E39" i="7"/>
  <c r="D39" i="7" s="1"/>
  <c r="D40" i="7" s="1"/>
  <c r="C39" i="7"/>
  <c r="B39" i="7"/>
  <c r="B40" i="7" s="1"/>
  <c r="H38" i="7"/>
  <c r="G38" i="7"/>
  <c r="F38" i="7"/>
  <c r="E38" i="7"/>
  <c r="D38" i="7" s="1"/>
  <c r="C38" i="7"/>
  <c r="B38" i="7"/>
  <c r="Y37" i="7"/>
  <c r="X37" i="7"/>
  <c r="W37" i="7"/>
  <c r="U37" i="7"/>
  <c r="T37" i="7"/>
  <c r="S37" i="7"/>
  <c r="E37" i="7"/>
  <c r="C37" i="7"/>
  <c r="B37" i="7"/>
  <c r="AM36" i="7"/>
  <c r="AD36" i="7"/>
  <c r="U36" i="7"/>
  <c r="M36" i="7"/>
  <c r="H36" i="7"/>
  <c r="H37" i="7" s="1"/>
  <c r="G36" i="7"/>
  <c r="G37" i="7" s="1"/>
  <c r="F36" i="7"/>
  <c r="F37" i="7" s="1"/>
  <c r="E36" i="7"/>
  <c r="D36" i="7" s="1"/>
  <c r="D37" i="7" s="1"/>
  <c r="C36" i="7"/>
  <c r="B36" i="7"/>
  <c r="AM35" i="7"/>
  <c r="H35" i="7"/>
  <c r="G35" i="7"/>
  <c r="F35" i="7"/>
  <c r="E35" i="7"/>
  <c r="D35" i="7" s="1"/>
  <c r="C35" i="7"/>
  <c r="B35" i="7"/>
  <c r="G34" i="7"/>
  <c r="AM33" i="7"/>
  <c r="AD33" i="7"/>
  <c r="AD21" i="7" s="1"/>
  <c r="U33" i="7"/>
  <c r="U21" i="7" s="1"/>
  <c r="U22" i="7" s="1"/>
  <c r="M33" i="7"/>
  <c r="H33" i="7"/>
  <c r="H21" i="7" s="1"/>
  <c r="G33" i="7"/>
  <c r="F33" i="7"/>
  <c r="F34" i="7" s="1"/>
  <c r="E33" i="7"/>
  <c r="D33" i="7" s="1"/>
  <c r="C33" i="7"/>
  <c r="C34" i="7" s="1"/>
  <c r="B33" i="7"/>
  <c r="B34" i="7" s="1"/>
  <c r="AM32" i="7"/>
  <c r="AD32" i="7"/>
  <c r="AD20" i="7" s="1"/>
  <c r="AD9" i="7" s="1"/>
  <c r="U32" i="7"/>
  <c r="M32" i="7"/>
  <c r="H32" i="7"/>
  <c r="G32" i="7"/>
  <c r="F32" i="7"/>
  <c r="E32" i="7"/>
  <c r="D32" i="7" s="1"/>
  <c r="C32" i="7"/>
  <c r="B32" i="7"/>
  <c r="Y31" i="7"/>
  <c r="X31" i="7"/>
  <c r="W31" i="7"/>
  <c r="V31" i="7"/>
  <c r="U31" i="7"/>
  <c r="T31" i="7"/>
  <c r="S31" i="7"/>
  <c r="Q31" i="7"/>
  <c r="P31" i="7"/>
  <c r="O31" i="7"/>
  <c r="L31" i="7"/>
  <c r="K31" i="7"/>
  <c r="G31" i="7"/>
  <c r="F31" i="7"/>
  <c r="AM30" i="7"/>
  <c r="AD30" i="7"/>
  <c r="U30" i="7"/>
  <c r="M30" i="7"/>
  <c r="M31" i="7" s="1"/>
  <c r="H30" i="7"/>
  <c r="H31" i="7" s="1"/>
  <c r="G30" i="7"/>
  <c r="F30" i="7"/>
  <c r="E30" i="7"/>
  <c r="E31" i="7" s="1"/>
  <c r="D30" i="7"/>
  <c r="D31" i="7" s="1"/>
  <c r="C30" i="7"/>
  <c r="C31" i="7" s="1"/>
  <c r="B30" i="7"/>
  <c r="B31" i="7" s="1"/>
  <c r="H29" i="7"/>
  <c r="G29" i="7"/>
  <c r="F29" i="7"/>
  <c r="E29" i="7"/>
  <c r="D29" i="7"/>
  <c r="C29" i="7"/>
  <c r="B29" i="7"/>
  <c r="AQ28" i="7"/>
  <c r="AP28" i="7"/>
  <c r="AO28" i="7"/>
  <c r="AL28" i="7"/>
  <c r="AK28" i="7"/>
  <c r="Y28" i="7"/>
  <c r="X28" i="7"/>
  <c r="W28" i="7"/>
  <c r="V28" i="7"/>
  <c r="T28" i="7"/>
  <c r="S28" i="7"/>
  <c r="Q28" i="7"/>
  <c r="P28" i="7"/>
  <c r="O28" i="7"/>
  <c r="N28" i="7"/>
  <c r="L28" i="7"/>
  <c r="K28" i="7"/>
  <c r="F28" i="7"/>
  <c r="C28" i="7"/>
  <c r="AM27" i="7"/>
  <c r="AM28" i="7" s="1"/>
  <c r="AD27" i="7"/>
  <c r="U27" i="7"/>
  <c r="U28" i="7" s="1"/>
  <c r="M27" i="7"/>
  <c r="M28" i="7" s="1"/>
  <c r="H27" i="7"/>
  <c r="H28" i="7" s="1"/>
  <c r="G27" i="7"/>
  <c r="G28" i="7" s="1"/>
  <c r="F27" i="7"/>
  <c r="E27" i="7"/>
  <c r="D27" i="7" s="1"/>
  <c r="C27" i="7"/>
  <c r="B27" i="7"/>
  <c r="B28" i="7" s="1"/>
  <c r="H26" i="7"/>
  <c r="H20" i="7" s="1"/>
  <c r="G26" i="7"/>
  <c r="F26" i="7"/>
  <c r="E26" i="7"/>
  <c r="D26" i="7" s="1"/>
  <c r="C26" i="7"/>
  <c r="B26" i="7"/>
  <c r="AQ25" i="7"/>
  <c r="AP25" i="7"/>
  <c r="AO25" i="7"/>
  <c r="AL25" i="7"/>
  <c r="AK25" i="7"/>
  <c r="Y25" i="7"/>
  <c r="X25" i="7"/>
  <c r="W25" i="7"/>
  <c r="V25" i="7"/>
  <c r="T25" i="7"/>
  <c r="S25" i="7"/>
  <c r="Q25" i="7"/>
  <c r="P25" i="7"/>
  <c r="O25" i="7"/>
  <c r="N25" i="7"/>
  <c r="M25" i="7"/>
  <c r="L25" i="7"/>
  <c r="K25" i="7"/>
  <c r="H25" i="7"/>
  <c r="C25" i="7"/>
  <c r="AM24" i="7"/>
  <c r="AM21" i="7" s="1"/>
  <c r="AD24" i="7"/>
  <c r="U24" i="7"/>
  <c r="U25" i="7" s="1"/>
  <c r="M24" i="7"/>
  <c r="H24" i="7"/>
  <c r="G24" i="7"/>
  <c r="G25" i="7" s="1"/>
  <c r="F24" i="7"/>
  <c r="F25" i="7" s="1"/>
  <c r="E24" i="7"/>
  <c r="E25" i="7" s="1"/>
  <c r="C24" i="7"/>
  <c r="C21" i="7" s="1"/>
  <c r="B24" i="7"/>
  <c r="B25" i="7" s="1"/>
  <c r="H23" i="7"/>
  <c r="G23" i="7"/>
  <c r="F23" i="7"/>
  <c r="F20" i="7" s="1"/>
  <c r="E23" i="7"/>
  <c r="D23" i="7" s="1"/>
  <c r="C23" i="7"/>
  <c r="C20" i="7" s="1"/>
  <c r="C9" i="7" s="1"/>
  <c r="B23" i="7"/>
  <c r="B20" i="7" s="1"/>
  <c r="AH21" i="7"/>
  <c r="AH10" i="7" s="1"/>
  <c r="AG21" i="7"/>
  <c r="AG22" i="7" s="1"/>
  <c r="AF21" i="7"/>
  <c r="AE21" i="7"/>
  <c r="AE22" i="7" s="1"/>
  <c r="AC21" i="7"/>
  <c r="AB21" i="7"/>
  <c r="Y21" i="7"/>
  <c r="Y22" i="7" s="1"/>
  <c r="X21" i="7"/>
  <c r="X10" i="7" s="1"/>
  <c r="W21" i="7"/>
  <c r="W22" i="7" s="1"/>
  <c r="V21" i="7"/>
  <c r="T21" i="7"/>
  <c r="T22" i="7" s="1"/>
  <c r="S21" i="7"/>
  <c r="Q21" i="7"/>
  <c r="P21" i="7"/>
  <c r="P22" i="7" s="1"/>
  <c r="O21" i="7"/>
  <c r="O10" i="7" s="1"/>
  <c r="N21" i="7"/>
  <c r="N22" i="7" s="1"/>
  <c r="L21" i="7"/>
  <c r="L22" i="7" s="1"/>
  <c r="K21" i="7"/>
  <c r="K22" i="7" s="1"/>
  <c r="E21" i="7"/>
  <c r="E10" i="7" s="1"/>
  <c r="AQ20" i="7"/>
  <c r="AQ22" i="7" s="1"/>
  <c r="AP20" i="7"/>
  <c r="AP22" i="7" s="1"/>
  <c r="AO20" i="7"/>
  <c r="AO22" i="7" s="1"/>
  <c r="AN20" i="7"/>
  <c r="AM20" i="7"/>
  <c r="AM9" i="7" s="1"/>
  <c r="AL20" i="7"/>
  <c r="AL9" i="7" s="1"/>
  <c r="AK20" i="7"/>
  <c r="AK22" i="7" s="1"/>
  <c r="AH20" i="7"/>
  <c r="AH9" i="7" s="1"/>
  <c r="AG20" i="7"/>
  <c r="AF20" i="7"/>
  <c r="AF22" i="7" s="1"/>
  <c r="AE20" i="7"/>
  <c r="AC20" i="7"/>
  <c r="AC9" i="7" s="1"/>
  <c r="AB20" i="7"/>
  <c r="AB9" i="7" s="1"/>
  <c r="Y20" i="7"/>
  <c r="X20" i="7"/>
  <c r="X9" i="7" s="1"/>
  <c r="W20" i="7"/>
  <c r="V20" i="7"/>
  <c r="V22" i="7" s="1"/>
  <c r="U20" i="7"/>
  <c r="T20" i="7"/>
  <c r="S20" i="7"/>
  <c r="S9" i="7" s="1"/>
  <c r="Q20" i="7"/>
  <c r="Q22" i="7" s="1"/>
  <c r="P20" i="7"/>
  <c r="O20" i="7"/>
  <c r="O9" i="7" s="1"/>
  <c r="N20" i="7"/>
  <c r="M20" i="7"/>
  <c r="L20" i="7"/>
  <c r="K20" i="7"/>
  <c r="G20" i="7"/>
  <c r="G9" i="7" s="1"/>
  <c r="AM18" i="7"/>
  <c r="AD18" i="7"/>
  <c r="U18" i="7"/>
  <c r="M18" i="7"/>
  <c r="H18" i="7"/>
  <c r="G18" i="7"/>
  <c r="F18" i="7"/>
  <c r="E18" i="7"/>
  <c r="D18" i="7" s="1"/>
  <c r="C18" i="7"/>
  <c r="B18" i="7"/>
  <c r="AM17" i="7"/>
  <c r="AD17" i="7"/>
  <c r="U17" i="7"/>
  <c r="M17" i="7"/>
  <c r="H17" i="7"/>
  <c r="G17" i="7"/>
  <c r="F17" i="7"/>
  <c r="E17" i="7"/>
  <c r="D17" i="7" s="1"/>
  <c r="C17" i="7"/>
  <c r="B17" i="7"/>
  <c r="AM16" i="7"/>
  <c r="AD16" i="7"/>
  <c r="U16" i="7"/>
  <c r="M16" i="7"/>
  <c r="H16" i="7"/>
  <c r="G16" i="7"/>
  <c r="F16" i="7"/>
  <c r="D16" i="7" s="1"/>
  <c r="E16" i="7"/>
  <c r="C16" i="7"/>
  <c r="B16" i="7"/>
  <c r="AM15" i="7"/>
  <c r="AL15" i="7"/>
  <c r="AK15" i="7"/>
  <c r="AH15" i="7"/>
  <c r="AG15" i="7"/>
  <c r="AF15" i="7"/>
  <c r="AE15" i="7"/>
  <c r="AC15" i="7"/>
  <c r="AB15" i="7"/>
  <c r="Y15" i="7"/>
  <c r="X15" i="7"/>
  <c r="W15" i="7"/>
  <c r="V15" i="7"/>
  <c r="T15" i="7"/>
  <c r="S15" i="7"/>
  <c r="Q15" i="7"/>
  <c r="P15" i="7"/>
  <c r="O15" i="7"/>
  <c r="N15" i="7"/>
  <c r="M15" i="7"/>
  <c r="L15" i="7"/>
  <c r="K15" i="7"/>
  <c r="G15" i="7"/>
  <c r="E15" i="7"/>
  <c r="AM14" i="7"/>
  <c r="AD14" i="7"/>
  <c r="AD15" i="7" s="1"/>
  <c r="U14" i="7"/>
  <c r="U15" i="7" s="1"/>
  <c r="M14" i="7"/>
  <c r="H14" i="7"/>
  <c r="H15" i="7" s="1"/>
  <c r="G14" i="7"/>
  <c r="F14" i="7"/>
  <c r="F15" i="7" s="1"/>
  <c r="E14" i="7"/>
  <c r="D14" i="7" s="1"/>
  <c r="C14" i="7"/>
  <c r="C15" i="7" s="1"/>
  <c r="B14" i="7"/>
  <c r="B15" i="7" s="1"/>
  <c r="AM13" i="7"/>
  <c r="H13" i="7"/>
  <c r="G13" i="7"/>
  <c r="F13" i="7"/>
  <c r="F9" i="7" s="1"/>
  <c r="E13" i="7"/>
  <c r="D13" i="7" s="1"/>
  <c r="C13" i="7"/>
  <c r="B13" i="7"/>
  <c r="B9" i="7" s="1"/>
  <c r="AO11" i="7"/>
  <c r="AQ10" i="7"/>
  <c r="AQ11" i="7" s="1"/>
  <c r="AP10" i="7"/>
  <c r="AO10" i="7"/>
  <c r="AN10" i="7"/>
  <c r="AN11" i="7" s="1"/>
  <c r="AL10" i="7"/>
  <c r="AK10" i="7"/>
  <c r="AK11" i="7" s="1"/>
  <c r="AF10" i="7"/>
  <c r="AC10" i="7"/>
  <c r="AC11" i="7" s="1"/>
  <c r="AB10" i="7"/>
  <c r="AB11" i="7" s="1"/>
  <c r="Y10" i="7"/>
  <c r="Y11" i="7" s="1"/>
  <c r="V10" i="7"/>
  <c r="T10" i="7"/>
  <c r="T11" i="7" s="1"/>
  <c r="S10" i="7"/>
  <c r="Q10" i="7"/>
  <c r="P10" i="7"/>
  <c r="P11" i="7" s="1"/>
  <c r="K10" i="7"/>
  <c r="K11" i="7" s="1"/>
  <c r="AQ9" i="7"/>
  <c r="AP9" i="7"/>
  <c r="AP11" i="7" s="1"/>
  <c r="AO9" i="7"/>
  <c r="AN9" i="7"/>
  <c r="AK9" i="7"/>
  <c r="AG9" i="7"/>
  <c r="AF9" i="7"/>
  <c r="AF11" i="7" s="1"/>
  <c r="AE9" i="7"/>
  <c r="Y9" i="7"/>
  <c r="W9" i="7"/>
  <c r="V9" i="7"/>
  <c r="V11" i="7" s="1"/>
  <c r="U9" i="7"/>
  <c r="T9" i="7"/>
  <c r="P9" i="7"/>
  <c r="N9" i="7"/>
  <c r="M9" i="7"/>
  <c r="L9" i="7"/>
  <c r="K9" i="7"/>
  <c r="H9" i="7" l="1"/>
  <c r="AH11" i="7"/>
  <c r="C22" i="7"/>
  <c r="AM22" i="7"/>
  <c r="AM10" i="7"/>
  <c r="AM11" i="7" s="1"/>
  <c r="X11" i="7"/>
  <c r="AD22" i="7"/>
  <c r="AD10" i="7"/>
  <c r="AD11" i="7" s="1"/>
  <c r="D20" i="7"/>
  <c r="D15" i="7"/>
  <c r="D34" i="7"/>
  <c r="O11" i="7"/>
  <c r="S11" i="7"/>
  <c r="AL11" i="7"/>
  <c r="D9" i="7"/>
  <c r="D28" i="7"/>
  <c r="H22" i="7"/>
  <c r="H10" i="7"/>
  <c r="H11" i="7" s="1"/>
  <c r="E20" i="7"/>
  <c r="B21" i="7"/>
  <c r="B22" i="7" s="1"/>
  <c r="O22" i="7"/>
  <c r="X22" i="7"/>
  <c r="AH22" i="7"/>
  <c r="D24" i="7"/>
  <c r="AM25" i="7"/>
  <c r="E34" i="7"/>
  <c r="M21" i="7"/>
  <c r="E28" i="7"/>
  <c r="E40" i="7"/>
  <c r="AB22" i="7"/>
  <c r="L10" i="7"/>
  <c r="L11" i="7" s="1"/>
  <c r="U10" i="7"/>
  <c r="U11" i="7" s="1"/>
  <c r="AE10" i="7"/>
  <c r="AE11" i="7" s="1"/>
  <c r="F21" i="7"/>
  <c r="H34" i="7"/>
  <c r="C10" i="7"/>
  <c r="C11" i="7" s="1"/>
  <c r="G21" i="7"/>
  <c r="G22" i="7" s="1"/>
  <c r="AL22" i="7"/>
  <c r="AC22" i="7"/>
  <c r="Q9" i="7"/>
  <c r="Q11" i="7" s="1"/>
  <c r="N10" i="7"/>
  <c r="N11" i="7" s="1"/>
  <c r="W10" i="7"/>
  <c r="W11" i="7" s="1"/>
  <c r="AG10" i="7"/>
  <c r="AG11" i="7" s="1"/>
  <c r="S22" i="7"/>
  <c r="F22" i="7" l="1"/>
  <c r="F10" i="7"/>
  <c r="F11" i="7" s="1"/>
  <c r="M22" i="7"/>
  <c r="M10" i="7"/>
  <c r="M11" i="7" s="1"/>
  <c r="E9" i="7"/>
  <c r="E11" i="7" s="1"/>
  <c r="E22" i="7"/>
  <c r="D25" i="7"/>
  <c r="D21" i="7"/>
  <c r="B10" i="7"/>
  <c r="B11" i="7" s="1"/>
  <c r="G10" i="7"/>
  <c r="G11" i="7" s="1"/>
  <c r="D22" i="7" l="1"/>
  <c r="D10" i="7"/>
  <c r="D11" i="7" s="1"/>
  <c r="AQ40" i="8" l="1"/>
  <c r="AP40" i="8"/>
  <c r="AO40" i="8"/>
  <c r="AL40" i="8"/>
  <c r="AK40" i="8"/>
  <c r="AH40" i="8"/>
  <c r="AG40" i="8"/>
  <c r="AF40" i="8"/>
  <c r="AE40" i="8"/>
  <c r="AC40" i="8"/>
  <c r="AB40" i="8"/>
  <c r="Y40" i="8"/>
  <c r="X40" i="8"/>
  <c r="W40" i="8"/>
  <c r="V40" i="8"/>
  <c r="T40" i="8"/>
  <c r="S40" i="8"/>
  <c r="Q40" i="8"/>
  <c r="P40" i="8"/>
  <c r="O40" i="8"/>
  <c r="N40" i="8"/>
  <c r="L40" i="8"/>
  <c r="K40" i="8"/>
  <c r="F40" i="8"/>
  <c r="E40" i="8"/>
  <c r="AM39" i="8"/>
  <c r="AM40" i="8" s="1"/>
  <c r="AD39" i="8"/>
  <c r="U39" i="8"/>
  <c r="M39" i="8"/>
  <c r="M40" i="8" s="1"/>
  <c r="H39" i="8"/>
  <c r="H40" i="8" s="1"/>
  <c r="G39" i="8"/>
  <c r="F39" i="8"/>
  <c r="E39" i="8"/>
  <c r="C39" i="8"/>
  <c r="C40" i="8" s="1"/>
  <c r="B39" i="8"/>
  <c r="AM38" i="8"/>
  <c r="AD38" i="8"/>
  <c r="AD40" i="8" s="1"/>
  <c r="U38" i="8"/>
  <c r="M38" i="8"/>
  <c r="H38" i="8"/>
  <c r="G38" i="8"/>
  <c r="F38" i="8"/>
  <c r="E38" i="8"/>
  <c r="D38" i="8"/>
  <c r="C38" i="8"/>
  <c r="B38" i="8"/>
  <c r="Y37" i="8"/>
  <c r="X37" i="8"/>
  <c r="W37" i="8"/>
  <c r="V37" i="8"/>
  <c r="U37" i="8"/>
  <c r="T37" i="8"/>
  <c r="S37" i="8"/>
  <c r="H37" i="8"/>
  <c r="B37" i="8"/>
  <c r="AM36" i="8"/>
  <c r="AD36" i="8"/>
  <c r="AD21" i="8" s="1"/>
  <c r="U36" i="8"/>
  <c r="M36" i="8"/>
  <c r="H36" i="8"/>
  <c r="G36" i="8"/>
  <c r="G37" i="8" s="1"/>
  <c r="F36" i="8"/>
  <c r="F37" i="8" s="1"/>
  <c r="E36" i="8"/>
  <c r="E37" i="8" s="1"/>
  <c r="D36" i="8"/>
  <c r="C36" i="8"/>
  <c r="B36" i="8"/>
  <c r="AM35" i="8"/>
  <c r="AD35" i="8"/>
  <c r="U35" i="8"/>
  <c r="M35" i="8"/>
  <c r="H35" i="8"/>
  <c r="G35" i="8"/>
  <c r="G20" i="8" s="1"/>
  <c r="G9" i="8" s="1"/>
  <c r="F35" i="8"/>
  <c r="F20" i="8" s="1"/>
  <c r="F9" i="8" s="1"/>
  <c r="E35" i="8"/>
  <c r="C35" i="8"/>
  <c r="B35" i="8"/>
  <c r="AH34" i="8"/>
  <c r="AG34" i="8"/>
  <c r="AF34" i="8"/>
  <c r="AE34" i="8"/>
  <c r="AC34" i="8"/>
  <c r="AB34" i="8"/>
  <c r="Y34" i="8"/>
  <c r="X34" i="8"/>
  <c r="W34" i="8"/>
  <c r="V34" i="8"/>
  <c r="U34" i="8"/>
  <c r="T34" i="8"/>
  <c r="S34" i="8"/>
  <c r="E34" i="8"/>
  <c r="C34" i="8"/>
  <c r="AM33" i="8"/>
  <c r="AD33" i="8"/>
  <c r="AD34" i="8" s="1"/>
  <c r="U33" i="8"/>
  <c r="M33" i="8"/>
  <c r="H33" i="8"/>
  <c r="H34" i="8" s="1"/>
  <c r="G33" i="8"/>
  <c r="G34" i="8" s="1"/>
  <c r="F33" i="8"/>
  <c r="F34" i="8" s="1"/>
  <c r="E33" i="8"/>
  <c r="C33" i="8"/>
  <c r="B33" i="8"/>
  <c r="B34" i="8" s="1"/>
  <c r="AM32" i="8"/>
  <c r="AD32" i="8"/>
  <c r="U32" i="8"/>
  <c r="M32" i="8"/>
  <c r="H32" i="8"/>
  <c r="G32" i="8"/>
  <c r="F32" i="8"/>
  <c r="E32" i="8"/>
  <c r="D32" i="8"/>
  <c r="C32" i="8"/>
  <c r="B32" i="8"/>
  <c r="AQ31" i="8"/>
  <c r="AP31" i="8"/>
  <c r="AO31" i="8"/>
  <c r="AL31" i="8"/>
  <c r="AK31" i="8"/>
  <c r="AH31" i="8"/>
  <c r="AG31" i="8"/>
  <c r="AF31" i="8"/>
  <c r="AE31" i="8"/>
  <c r="AC31" i="8"/>
  <c r="AB31" i="8"/>
  <c r="Y31" i="8"/>
  <c r="X31" i="8"/>
  <c r="W31" i="8"/>
  <c r="V31" i="8"/>
  <c r="T31" i="8"/>
  <c r="S31" i="8"/>
  <c r="Q31" i="8"/>
  <c r="P31" i="8"/>
  <c r="O31" i="8"/>
  <c r="N31" i="8"/>
  <c r="M31" i="8"/>
  <c r="L31" i="8"/>
  <c r="K31" i="8"/>
  <c r="E31" i="8"/>
  <c r="C31" i="8"/>
  <c r="AM30" i="8"/>
  <c r="AD30" i="8"/>
  <c r="AD31" i="8" s="1"/>
  <c r="U30" i="8"/>
  <c r="U31" i="8" s="1"/>
  <c r="M30" i="8"/>
  <c r="H30" i="8"/>
  <c r="H31" i="8" s="1"/>
  <c r="G30" i="8"/>
  <c r="G31" i="8" s="1"/>
  <c r="F30" i="8"/>
  <c r="F31" i="8" s="1"/>
  <c r="E30" i="8"/>
  <c r="C30" i="8"/>
  <c r="B30" i="8"/>
  <c r="B31" i="8" s="1"/>
  <c r="AM29" i="8"/>
  <c r="AM31" i="8" s="1"/>
  <c r="AD29" i="8"/>
  <c r="U29" i="8"/>
  <c r="M29" i="8"/>
  <c r="H29" i="8"/>
  <c r="G29" i="8"/>
  <c r="F29" i="8"/>
  <c r="E29" i="8"/>
  <c r="D29" i="8"/>
  <c r="C29" i="8"/>
  <c r="B29" i="8"/>
  <c r="AQ28" i="8"/>
  <c r="AP28" i="8"/>
  <c r="AO28" i="8"/>
  <c r="AL28" i="8"/>
  <c r="AK28" i="8"/>
  <c r="AH28" i="8"/>
  <c r="AG28" i="8"/>
  <c r="AF28" i="8"/>
  <c r="AE28" i="8"/>
  <c r="AC28" i="8"/>
  <c r="AB28" i="8"/>
  <c r="Y28" i="8"/>
  <c r="X28" i="8"/>
  <c r="W28" i="8"/>
  <c r="V28" i="8"/>
  <c r="T28" i="8"/>
  <c r="S28" i="8"/>
  <c r="Q28" i="8"/>
  <c r="P28" i="8"/>
  <c r="O28" i="8"/>
  <c r="N28" i="8"/>
  <c r="L28" i="8"/>
  <c r="K28" i="8"/>
  <c r="E28" i="8"/>
  <c r="C28" i="8"/>
  <c r="AM27" i="8"/>
  <c r="AD27" i="8"/>
  <c r="AD28" i="8" s="1"/>
  <c r="U27" i="8"/>
  <c r="U28" i="8" s="1"/>
  <c r="M27" i="8"/>
  <c r="H27" i="8"/>
  <c r="H28" i="8" s="1"/>
  <c r="G27" i="8"/>
  <c r="G28" i="8" s="1"/>
  <c r="F27" i="8"/>
  <c r="E27" i="8"/>
  <c r="C27" i="8"/>
  <c r="B27" i="8"/>
  <c r="B28" i="8" s="1"/>
  <c r="AM26" i="8"/>
  <c r="AM28" i="8" s="1"/>
  <c r="AD26" i="8"/>
  <c r="U26" i="8"/>
  <c r="M26" i="8"/>
  <c r="M20" i="8" s="1"/>
  <c r="M9" i="8" s="1"/>
  <c r="H26" i="8"/>
  <c r="H20" i="8" s="1"/>
  <c r="H9" i="8" s="1"/>
  <c r="G26" i="8"/>
  <c r="F26" i="8"/>
  <c r="E26" i="8"/>
  <c r="D26" i="8"/>
  <c r="C26" i="8"/>
  <c r="B26" i="8"/>
  <c r="AQ25" i="8"/>
  <c r="AP25" i="8"/>
  <c r="AO25" i="8"/>
  <c r="AL25" i="8"/>
  <c r="AK25" i="8"/>
  <c r="Y25" i="8"/>
  <c r="X25" i="8"/>
  <c r="W25" i="8"/>
  <c r="V25" i="8"/>
  <c r="T25" i="8"/>
  <c r="S25" i="8"/>
  <c r="Q25" i="8"/>
  <c r="P25" i="8"/>
  <c r="O25" i="8"/>
  <c r="N25" i="8"/>
  <c r="L25" i="8"/>
  <c r="K25" i="8"/>
  <c r="F25" i="8"/>
  <c r="E25" i="8"/>
  <c r="AM24" i="8"/>
  <c r="AM25" i="8" s="1"/>
  <c r="AD24" i="8"/>
  <c r="U24" i="8"/>
  <c r="M24" i="8"/>
  <c r="M25" i="8" s="1"/>
  <c r="H24" i="8"/>
  <c r="H25" i="8" s="1"/>
  <c r="G24" i="8"/>
  <c r="F24" i="8"/>
  <c r="E24" i="8"/>
  <c r="C24" i="8"/>
  <c r="C25" i="8" s="1"/>
  <c r="B24" i="8"/>
  <c r="AM23" i="8"/>
  <c r="AM20" i="8" s="1"/>
  <c r="AD23" i="8"/>
  <c r="AD20" i="8" s="1"/>
  <c r="U23" i="8"/>
  <c r="M23" i="8"/>
  <c r="H23" i="8"/>
  <c r="G23" i="8"/>
  <c r="F23" i="8"/>
  <c r="E23" i="8"/>
  <c r="D23" i="8"/>
  <c r="C23" i="8"/>
  <c r="B23" i="8"/>
  <c r="B20" i="8" s="1"/>
  <c r="B9" i="8" s="1"/>
  <c r="AK22" i="8"/>
  <c r="AH22" i="8"/>
  <c r="AG22" i="8"/>
  <c r="Y22" i="8"/>
  <c r="X22" i="8"/>
  <c r="W22" i="8"/>
  <c r="P22" i="8"/>
  <c r="O22" i="8"/>
  <c r="N22" i="8"/>
  <c r="AQ21" i="8"/>
  <c r="AQ22" i="8" s="1"/>
  <c r="AP21" i="8"/>
  <c r="AP22" i="8" s="1"/>
  <c r="AO21" i="8"/>
  <c r="AO22" i="8" s="1"/>
  <c r="AN21" i="8"/>
  <c r="AM21" i="8"/>
  <c r="AM22" i="8" s="1"/>
  <c r="AL21" i="8"/>
  <c r="AK21" i="8"/>
  <c r="AK10" i="8" s="1"/>
  <c r="AK11" i="8" s="1"/>
  <c r="AH21" i="8"/>
  <c r="AG21" i="8"/>
  <c r="AF21" i="8"/>
  <c r="AF22" i="8" s="1"/>
  <c r="AE21" i="8"/>
  <c r="AC21" i="8"/>
  <c r="AC22" i="8" s="1"/>
  <c r="AB21" i="8"/>
  <c r="Y21" i="8"/>
  <c r="Y10" i="8" s="1"/>
  <c r="Y11" i="8" s="1"/>
  <c r="X21" i="8"/>
  <c r="W21" i="8"/>
  <c r="V21" i="8"/>
  <c r="V22" i="8" s="1"/>
  <c r="U21" i="8"/>
  <c r="T21" i="8"/>
  <c r="T22" i="8" s="1"/>
  <c r="S21" i="8"/>
  <c r="S22" i="8" s="1"/>
  <c r="Q21" i="8"/>
  <c r="P21" i="8"/>
  <c r="P10" i="8" s="1"/>
  <c r="P11" i="8" s="1"/>
  <c r="O21" i="8"/>
  <c r="N21" i="8"/>
  <c r="L21" i="8"/>
  <c r="K21" i="8"/>
  <c r="K22" i="8" s="1"/>
  <c r="H21" i="8"/>
  <c r="B21" i="8"/>
  <c r="AQ20" i="8"/>
  <c r="AP20" i="8"/>
  <c r="AO20" i="8"/>
  <c r="AO9" i="8" s="1"/>
  <c r="AN20" i="8"/>
  <c r="AN9" i="8" s="1"/>
  <c r="AL20" i="8"/>
  <c r="AK20" i="8"/>
  <c r="AH20" i="8"/>
  <c r="AG20" i="8"/>
  <c r="AF20" i="8"/>
  <c r="AE20" i="8"/>
  <c r="AE9" i="8" s="1"/>
  <c r="AC20" i="8"/>
  <c r="AB20" i="8"/>
  <c r="Y20" i="8"/>
  <c r="X20" i="8"/>
  <c r="W20" i="8"/>
  <c r="V20" i="8"/>
  <c r="U20" i="8"/>
  <c r="U9" i="8" s="1"/>
  <c r="T20" i="8"/>
  <c r="T9" i="8" s="1"/>
  <c r="S20" i="8"/>
  <c r="Q20" i="8"/>
  <c r="P20" i="8"/>
  <c r="O20" i="8"/>
  <c r="N20" i="8"/>
  <c r="L20" i="8"/>
  <c r="L9" i="8" s="1"/>
  <c r="K20" i="8"/>
  <c r="K9" i="8" s="1"/>
  <c r="E20" i="8"/>
  <c r="C20" i="8"/>
  <c r="AM18" i="8"/>
  <c r="AD18" i="8"/>
  <c r="U18" i="8"/>
  <c r="M18" i="8"/>
  <c r="H18" i="8"/>
  <c r="G18" i="8"/>
  <c r="F18" i="8"/>
  <c r="E18" i="8"/>
  <c r="D18" i="8" s="1"/>
  <c r="C18" i="8"/>
  <c r="B18" i="8"/>
  <c r="AM17" i="8"/>
  <c r="AD17" i="8"/>
  <c r="U17" i="8"/>
  <c r="M17" i="8"/>
  <c r="H17" i="8"/>
  <c r="G17" i="8"/>
  <c r="F17" i="8"/>
  <c r="E17" i="8"/>
  <c r="C17" i="8"/>
  <c r="B17" i="8"/>
  <c r="AM16" i="8"/>
  <c r="AD16" i="8"/>
  <c r="U16" i="8"/>
  <c r="M16" i="8"/>
  <c r="H16" i="8"/>
  <c r="G16" i="8"/>
  <c r="F16" i="8"/>
  <c r="E16" i="8"/>
  <c r="D16" i="8"/>
  <c r="C16" i="8"/>
  <c r="B16" i="8"/>
  <c r="AQ15" i="8"/>
  <c r="AP15" i="8"/>
  <c r="AO15" i="8"/>
  <c r="AL15" i="8"/>
  <c r="AK15" i="8"/>
  <c r="AH15" i="8"/>
  <c r="AG15" i="8"/>
  <c r="AF15" i="8"/>
  <c r="AE15" i="8"/>
  <c r="AC15" i="8"/>
  <c r="AB15" i="8"/>
  <c r="Y15" i="8"/>
  <c r="X15" i="8"/>
  <c r="W15" i="8"/>
  <c r="V15" i="8"/>
  <c r="T15" i="8"/>
  <c r="S15" i="8"/>
  <c r="Q15" i="8"/>
  <c r="P15" i="8"/>
  <c r="O15" i="8"/>
  <c r="N15" i="8"/>
  <c r="L15" i="8"/>
  <c r="K15" i="8"/>
  <c r="G15" i="8"/>
  <c r="F15" i="8"/>
  <c r="E15" i="8"/>
  <c r="AM14" i="8"/>
  <c r="AD14" i="8"/>
  <c r="U14" i="8"/>
  <c r="U15" i="8" s="1"/>
  <c r="M14" i="8"/>
  <c r="M15" i="8" s="1"/>
  <c r="H14" i="8"/>
  <c r="H15" i="8" s="1"/>
  <c r="G14" i="8"/>
  <c r="F14" i="8"/>
  <c r="E14" i="8"/>
  <c r="C14" i="8"/>
  <c r="B14" i="8"/>
  <c r="B15" i="8" s="1"/>
  <c r="AM13" i="8"/>
  <c r="AM9" i="8" s="1"/>
  <c r="AD13" i="8"/>
  <c r="AD9" i="8" s="1"/>
  <c r="U13" i="8"/>
  <c r="M13" i="8"/>
  <c r="H13" i="8"/>
  <c r="G13" i="8"/>
  <c r="F13" i="8"/>
  <c r="E13" i="8"/>
  <c r="D13" i="8"/>
  <c r="C13" i="8"/>
  <c r="C9" i="8" s="1"/>
  <c r="B13" i="8"/>
  <c r="AH11" i="8"/>
  <c r="X11" i="8"/>
  <c r="O11" i="8"/>
  <c r="AQ10" i="8"/>
  <c r="AQ11" i="8" s="1"/>
  <c r="AP10" i="8"/>
  <c r="AP11" i="8" s="1"/>
  <c r="AO10" i="8"/>
  <c r="AO11" i="8" s="1"/>
  <c r="AN10" i="8"/>
  <c r="AM10" i="8"/>
  <c r="AH10" i="8"/>
  <c r="AG10" i="8"/>
  <c r="AF10" i="8"/>
  <c r="AF11" i="8" s="1"/>
  <c r="AE10" i="8"/>
  <c r="AE11" i="8" s="1"/>
  <c r="AC10" i="8"/>
  <c r="AC11" i="8" s="1"/>
  <c r="X10" i="8"/>
  <c r="W10" i="8"/>
  <c r="V10" i="8"/>
  <c r="U10" i="8"/>
  <c r="T10" i="8"/>
  <c r="S10" i="8"/>
  <c r="S11" i="8" s="1"/>
  <c r="O10" i="8"/>
  <c r="N10" i="8"/>
  <c r="L10" i="8"/>
  <c r="L11" i="8" s="1"/>
  <c r="K10" i="8"/>
  <c r="B10" i="8"/>
  <c r="AQ9" i="8"/>
  <c r="AP9" i="8"/>
  <c r="AL9" i="8"/>
  <c r="AK9" i="8"/>
  <c r="AH9" i="8"/>
  <c r="AG9" i="8"/>
  <c r="AG11" i="8" s="1"/>
  <c r="AF9" i="8"/>
  <c r="AC9" i="8"/>
  <c r="AB9" i="8"/>
  <c r="Y9" i="8"/>
  <c r="X9" i="8"/>
  <c r="W9" i="8"/>
  <c r="W11" i="8" s="1"/>
  <c r="V9" i="8"/>
  <c r="S9" i="8"/>
  <c r="Q9" i="8"/>
  <c r="P9" i="8"/>
  <c r="O9" i="8"/>
  <c r="N9" i="8"/>
  <c r="N11" i="8" s="1"/>
  <c r="E9" i="8"/>
  <c r="D39" i="8" l="1"/>
  <c r="D40" i="8" s="1"/>
  <c r="G40" i="8"/>
  <c r="AD15" i="8"/>
  <c r="U40" i="8"/>
  <c r="Q10" i="8"/>
  <c r="Q11" i="8" s="1"/>
  <c r="Q22" i="8"/>
  <c r="U25" i="8"/>
  <c r="M28" i="8"/>
  <c r="C15" i="8"/>
  <c r="T11" i="8"/>
  <c r="U22" i="8"/>
  <c r="D33" i="8"/>
  <c r="D34" i="8" s="1"/>
  <c r="B40" i="8"/>
  <c r="AL10" i="8"/>
  <c r="AL11" i="8" s="1"/>
  <c r="AL22" i="8"/>
  <c r="AB10" i="8"/>
  <c r="AB11" i="8" s="1"/>
  <c r="AB22" i="8"/>
  <c r="G21" i="8"/>
  <c r="H22" i="8"/>
  <c r="AE22" i="8"/>
  <c r="B11" i="8"/>
  <c r="U11" i="8"/>
  <c r="D17" i="8"/>
  <c r="L22" i="8"/>
  <c r="D30" i="8"/>
  <c r="D31" i="8" s="1"/>
  <c r="D35" i="8"/>
  <c r="D20" i="8" s="1"/>
  <c r="D9" i="8" s="1"/>
  <c r="B25" i="8"/>
  <c r="H10" i="8"/>
  <c r="H11" i="8" s="1"/>
  <c r="V11" i="8"/>
  <c r="AM11" i="8"/>
  <c r="D14" i="8"/>
  <c r="D27" i="8"/>
  <c r="D28" i="8" s="1"/>
  <c r="C21" i="8"/>
  <c r="C37" i="8"/>
  <c r="AD22" i="8"/>
  <c r="AD10" i="8"/>
  <c r="AD11" i="8" s="1"/>
  <c r="B22" i="8"/>
  <c r="K11" i="8"/>
  <c r="D24" i="8"/>
  <c r="G25" i="8"/>
  <c r="F21" i="8"/>
  <c r="F28" i="8"/>
  <c r="D37" i="8"/>
  <c r="AM15" i="8"/>
  <c r="M21" i="8"/>
  <c r="M22" i="8" s="1"/>
  <c r="E21" i="8"/>
  <c r="E10" i="8" l="1"/>
  <c r="E11" i="8" s="1"/>
  <c r="E22" i="8"/>
  <c r="D15" i="8"/>
  <c r="F10" i="8"/>
  <c r="F11" i="8" s="1"/>
  <c r="F22" i="8"/>
  <c r="D21" i="8"/>
  <c r="D22" i="8" s="1"/>
  <c r="D25" i="8"/>
  <c r="M10" i="8"/>
  <c r="M11" i="8" s="1"/>
  <c r="C22" i="8"/>
  <c r="C10" i="8"/>
  <c r="C11" i="8" s="1"/>
  <c r="G10" i="8"/>
  <c r="G11" i="8" s="1"/>
  <c r="G22" i="8"/>
  <c r="D10" i="8" l="1"/>
  <c r="D11" i="8" s="1"/>
  <c r="AQ40" i="3" l="1"/>
  <c r="AP40" i="3"/>
  <c r="AO40" i="3"/>
  <c r="AM40" i="3"/>
  <c r="AL40" i="3"/>
  <c r="AK40" i="3"/>
  <c r="AH40" i="3"/>
  <c r="AG40" i="3"/>
  <c r="AF40" i="3"/>
  <c r="AE40" i="3"/>
  <c r="AC40" i="3"/>
  <c r="AB40" i="3"/>
  <c r="Y40" i="3"/>
  <c r="X40" i="3"/>
  <c r="W40" i="3"/>
  <c r="V40" i="3"/>
  <c r="T40" i="3"/>
  <c r="S40" i="3"/>
  <c r="Q40" i="3"/>
  <c r="P40" i="3"/>
  <c r="O40" i="3"/>
  <c r="N40" i="3"/>
  <c r="L40" i="3"/>
  <c r="K40" i="3"/>
  <c r="F40" i="3"/>
  <c r="E40" i="3"/>
  <c r="AD39" i="3"/>
  <c r="AD40" i="3" s="1"/>
  <c r="U39" i="3"/>
  <c r="U40" i="3" s="1"/>
  <c r="M39" i="3"/>
  <c r="M40" i="3" s="1"/>
  <c r="H39" i="3"/>
  <c r="H40" i="3" s="1"/>
  <c r="G39" i="3"/>
  <c r="G21" i="3" s="1"/>
  <c r="F39" i="3"/>
  <c r="E39" i="3"/>
  <c r="D39" i="3" s="1"/>
  <c r="C39" i="3"/>
  <c r="C40" i="3" s="1"/>
  <c r="B39" i="3"/>
  <c r="B40" i="3" s="1"/>
  <c r="AD38" i="3"/>
  <c r="U38" i="3"/>
  <c r="M38" i="3"/>
  <c r="D38" i="3" s="1"/>
  <c r="H38" i="3"/>
  <c r="G38" i="3"/>
  <c r="F38" i="3"/>
  <c r="E38" i="3"/>
  <c r="C38" i="3"/>
  <c r="B38" i="3"/>
  <c r="AQ37" i="3"/>
  <c r="AO37" i="3"/>
  <c r="AM37" i="3"/>
  <c r="AL37" i="3"/>
  <c r="AK37" i="3"/>
  <c r="AH37" i="3"/>
  <c r="AG37" i="3"/>
  <c r="AF37" i="3"/>
  <c r="AE37" i="3"/>
  <c r="AC37" i="3"/>
  <c r="AB37" i="3"/>
  <c r="X37" i="3"/>
  <c r="W37" i="3"/>
  <c r="V37" i="3"/>
  <c r="T37" i="3"/>
  <c r="S37" i="3"/>
  <c r="B37" i="3"/>
  <c r="AD36" i="3"/>
  <c r="AD37" i="3" s="1"/>
  <c r="U36" i="3"/>
  <c r="M36" i="3"/>
  <c r="H36" i="3"/>
  <c r="H37" i="3" s="1"/>
  <c r="G36" i="3"/>
  <c r="G37" i="3" s="1"/>
  <c r="F36" i="3"/>
  <c r="F37" i="3" s="1"/>
  <c r="E36" i="3"/>
  <c r="E37" i="3" s="1"/>
  <c r="D36" i="3"/>
  <c r="D37" i="3" s="1"/>
  <c r="C36" i="3"/>
  <c r="C37" i="3" s="1"/>
  <c r="B36" i="3"/>
  <c r="U35" i="3"/>
  <c r="M35" i="3"/>
  <c r="H35" i="3"/>
  <c r="G35" i="3"/>
  <c r="F35" i="3"/>
  <c r="E35" i="3"/>
  <c r="D35" i="3"/>
  <c r="C35" i="3"/>
  <c r="B35" i="3"/>
  <c r="AH34" i="3"/>
  <c r="AG34" i="3"/>
  <c r="AF34" i="3"/>
  <c r="AE34" i="3"/>
  <c r="AD34" i="3"/>
  <c r="AC34" i="3"/>
  <c r="AB34" i="3"/>
  <c r="Y34" i="3"/>
  <c r="X34" i="3"/>
  <c r="W34" i="3"/>
  <c r="V34" i="3"/>
  <c r="U34" i="3"/>
  <c r="T34" i="3"/>
  <c r="S34" i="3"/>
  <c r="B34" i="3"/>
  <c r="AM33" i="3"/>
  <c r="U33" i="3"/>
  <c r="M33" i="3"/>
  <c r="H33" i="3"/>
  <c r="H34" i="3" s="1"/>
  <c r="G33" i="3"/>
  <c r="G34" i="3" s="1"/>
  <c r="F33" i="3"/>
  <c r="F34" i="3" s="1"/>
  <c r="E33" i="3"/>
  <c r="E34" i="3" s="1"/>
  <c r="D33" i="3"/>
  <c r="D34" i="3" s="1"/>
  <c r="C33" i="3"/>
  <c r="C34" i="3" s="1"/>
  <c r="B33" i="3"/>
  <c r="AM32" i="3"/>
  <c r="AD32" i="3"/>
  <c r="U32" i="3"/>
  <c r="M32" i="3"/>
  <c r="D32" i="3" s="1"/>
  <c r="H32" i="3"/>
  <c r="G32" i="3"/>
  <c r="F32" i="3"/>
  <c r="E32" i="3"/>
  <c r="C32" i="3"/>
  <c r="B32" i="3"/>
  <c r="AQ31" i="3"/>
  <c r="AO31" i="3"/>
  <c r="AM31" i="3"/>
  <c r="AL31" i="3"/>
  <c r="AK31" i="3"/>
  <c r="AH31" i="3"/>
  <c r="AG31" i="3"/>
  <c r="AF31" i="3"/>
  <c r="AE31" i="3"/>
  <c r="AC31" i="3"/>
  <c r="AB31" i="3"/>
  <c r="Y31" i="3"/>
  <c r="X31" i="3"/>
  <c r="W31" i="3"/>
  <c r="V31" i="3"/>
  <c r="T31" i="3"/>
  <c r="S31" i="3"/>
  <c r="Q31" i="3"/>
  <c r="P31" i="3"/>
  <c r="O31" i="3"/>
  <c r="N31" i="3"/>
  <c r="L31" i="3"/>
  <c r="K31" i="3"/>
  <c r="G31" i="3"/>
  <c r="U30" i="3"/>
  <c r="U31" i="3" s="1"/>
  <c r="M30" i="3"/>
  <c r="M31" i="3" s="1"/>
  <c r="H30" i="3"/>
  <c r="H31" i="3" s="1"/>
  <c r="G30" i="3"/>
  <c r="F30" i="3"/>
  <c r="F31" i="3" s="1"/>
  <c r="E30" i="3"/>
  <c r="E31" i="3" s="1"/>
  <c r="C30" i="3"/>
  <c r="C31" i="3" s="1"/>
  <c r="B30" i="3"/>
  <c r="B31" i="3" s="1"/>
  <c r="AD29" i="3"/>
  <c r="AD31" i="3" s="1"/>
  <c r="U29" i="3"/>
  <c r="U20" i="3" s="1"/>
  <c r="U9" i="3" s="1"/>
  <c r="M29" i="3"/>
  <c r="H29" i="3"/>
  <c r="G29" i="3"/>
  <c r="F29" i="3"/>
  <c r="E29" i="3"/>
  <c r="C29" i="3"/>
  <c r="C20" i="3" s="1"/>
  <c r="C9" i="3" s="1"/>
  <c r="B29" i="3"/>
  <c r="B20" i="3" s="1"/>
  <c r="B9" i="3" s="1"/>
  <c r="AQ28" i="3"/>
  <c r="AO28" i="3"/>
  <c r="AM28" i="3"/>
  <c r="AL28" i="3"/>
  <c r="AK28" i="3"/>
  <c r="AH28" i="3"/>
  <c r="AG28" i="3"/>
  <c r="AF28" i="3"/>
  <c r="AE28" i="3"/>
  <c r="AC28" i="3"/>
  <c r="AB28" i="3"/>
  <c r="Y28" i="3"/>
  <c r="X28" i="3"/>
  <c r="W28" i="3"/>
  <c r="V28" i="3"/>
  <c r="T28" i="3"/>
  <c r="S28" i="3"/>
  <c r="Q28" i="3"/>
  <c r="O28" i="3"/>
  <c r="N28" i="3"/>
  <c r="M28" i="3"/>
  <c r="L28" i="3"/>
  <c r="K28" i="3"/>
  <c r="B28" i="3"/>
  <c r="U27" i="3"/>
  <c r="U28" i="3" s="1"/>
  <c r="M27" i="3"/>
  <c r="H27" i="3"/>
  <c r="H28" i="3" s="1"/>
  <c r="G27" i="3"/>
  <c r="G28" i="3" s="1"/>
  <c r="F27" i="3"/>
  <c r="F21" i="3" s="1"/>
  <c r="E27" i="3"/>
  <c r="E28" i="3" s="1"/>
  <c r="D27" i="3"/>
  <c r="D28" i="3" s="1"/>
  <c r="C27" i="3"/>
  <c r="C28" i="3" s="1"/>
  <c r="B27" i="3"/>
  <c r="AD26" i="3"/>
  <c r="AD28" i="3" s="1"/>
  <c r="U26" i="3"/>
  <c r="M26" i="3"/>
  <c r="D26" i="3" s="1"/>
  <c r="H26" i="3"/>
  <c r="H20" i="3" s="1"/>
  <c r="H9" i="3" s="1"/>
  <c r="G26" i="3"/>
  <c r="G20" i="3" s="1"/>
  <c r="F26" i="3"/>
  <c r="F20" i="3" s="1"/>
  <c r="E26" i="3"/>
  <c r="E20" i="3" s="1"/>
  <c r="C26" i="3"/>
  <c r="B26" i="3"/>
  <c r="AQ25" i="3"/>
  <c r="AP25" i="3"/>
  <c r="AO25" i="3"/>
  <c r="AM25" i="3"/>
  <c r="AL25" i="3"/>
  <c r="AK25" i="3"/>
  <c r="AH25" i="3"/>
  <c r="AG25" i="3"/>
  <c r="AF25" i="3"/>
  <c r="AE25" i="3"/>
  <c r="AC25" i="3"/>
  <c r="AB25" i="3"/>
  <c r="Y25" i="3"/>
  <c r="X25" i="3"/>
  <c r="W25" i="3"/>
  <c r="V25" i="3"/>
  <c r="T25" i="3"/>
  <c r="S25" i="3"/>
  <c r="Q25" i="3"/>
  <c r="P25" i="3"/>
  <c r="O25" i="3"/>
  <c r="N25" i="3"/>
  <c r="L25" i="3"/>
  <c r="K25" i="3"/>
  <c r="H25" i="3"/>
  <c r="G25" i="3"/>
  <c r="AM24" i="3"/>
  <c r="AM21" i="3" s="1"/>
  <c r="AM22" i="3" s="1"/>
  <c r="AD24" i="3"/>
  <c r="AD25" i="3" s="1"/>
  <c r="U24" i="3"/>
  <c r="U21" i="3" s="1"/>
  <c r="M24" i="3"/>
  <c r="M25" i="3" s="1"/>
  <c r="H24" i="3"/>
  <c r="G24" i="3"/>
  <c r="F24" i="3"/>
  <c r="F25" i="3" s="1"/>
  <c r="E24" i="3"/>
  <c r="E25" i="3" s="1"/>
  <c r="D24" i="3"/>
  <c r="C24" i="3"/>
  <c r="C25" i="3" s="1"/>
  <c r="B24" i="3"/>
  <c r="B21" i="3" s="1"/>
  <c r="AD23" i="3"/>
  <c r="U23" i="3"/>
  <c r="M23" i="3"/>
  <c r="H23" i="3"/>
  <c r="G23" i="3"/>
  <c r="F23" i="3"/>
  <c r="E23" i="3"/>
  <c r="D23" i="3"/>
  <c r="C23" i="3"/>
  <c r="B23" i="3"/>
  <c r="AL22" i="3"/>
  <c r="AK22" i="3"/>
  <c r="AC22" i="3"/>
  <c r="AB22" i="3"/>
  <c r="Y22" i="3"/>
  <c r="S22" i="3"/>
  <c r="Q22" i="3"/>
  <c r="P22" i="3"/>
  <c r="AQ21" i="3"/>
  <c r="AQ22" i="3" s="1"/>
  <c r="AP21" i="3"/>
  <c r="AP22" i="3" s="1"/>
  <c r="AO21" i="3"/>
  <c r="AO22" i="3" s="1"/>
  <c r="AN21" i="3"/>
  <c r="AN10" i="3" s="1"/>
  <c r="AL21" i="3"/>
  <c r="AK21" i="3"/>
  <c r="AH21" i="3"/>
  <c r="AH22" i="3" s="1"/>
  <c r="AG21" i="3"/>
  <c r="AG22" i="3" s="1"/>
  <c r="AF21" i="3"/>
  <c r="AF22" i="3" s="1"/>
  <c r="AE21" i="3"/>
  <c r="AE22" i="3" s="1"/>
  <c r="AD21" i="3"/>
  <c r="AC21" i="3"/>
  <c r="AB21" i="3"/>
  <c r="Y21" i="3"/>
  <c r="X21" i="3"/>
  <c r="X22" i="3" s="1"/>
  <c r="W21" i="3"/>
  <c r="W22" i="3" s="1"/>
  <c r="V21" i="3"/>
  <c r="V10" i="3" s="1"/>
  <c r="V11" i="3" s="1"/>
  <c r="T21" i="3"/>
  <c r="T22" i="3" s="1"/>
  <c r="S21" i="3"/>
  <c r="Q21" i="3"/>
  <c r="P21" i="3"/>
  <c r="O21" i="3"/>
  <c r="O22" i="3" s="1"/>
  <c r="N21" i="3"/>
  <c r="N22" i="3" s="1"/>
  <c r="M21" i="3"/>
  <c r="L21" i="3"/>
  <c r="L10" i="3" s="1"/>
  <c r="L11" i="3" s="1"/>
  <c r="K21" i="3"/>
  <c r="K22" i="3" s="1"/>
  <c r="AQ20" i="3"/>
  <c r="AQ9" i="3" s="1"/>
  <c r="AQ11" i="3" s="1"/>
  <c r="AP20" i="3"/>
  <c r="AO20" i="3"/>
  <c r="AN20" i="3"/>
  <c r="AM20" i="3"/>
  <c r="AL20" i="3"/>
  <c r="AL9" i="3" s="1"/>
  <c r="AL11" i="3" s="1"/>
  <c r="AK20" i="3"/>
  <c r="AK9" i="3" s="1"/>
  <c r="AK11" i="3" s="1"/>
  <c r="AH20" i="3"/>
  <c r="AH9" i="3" s="1"/>
  <c r="AG20" i="3"/>
  <c r="AG9" i="3" s="1"/>
  <c r="AF20" i="3"/>
  <c r="AE20" i="3"/>
  <c r="AC20" i="3"/>
  <c r="AB20" i="3"/>
  <c r="AB9" i="3" s="1"/>
  <c r="AB11" i="3" s="1"/>
  <c r="Y20" i="3"/>
  <c r="Y9" i="3" s="1"/>
  <c r="Y11" i="3" s="1"/>
  <c r="X20" i="3"/>
  <c r="X9" i="3" s="1"/>
  <c r="W20" i="3"/>
  <c r="W9" i="3" s="1"/>
  <c r="V20" i="3"/>
  <c r="T20" i="3"/>
  <c r="S20" i="3"/>
  <c r="Q20" i="3"/>
  <c r="Q9" i="3" s="1"/>
  <c r="Q11" i="3" s="1"/>
  <c r="P20" i="3"/>
  <c r="P9" i="3" s="1"/>
  <c r="P11" i="3" s="1"/>
  <c r="O20" i="3"/>
  <c r="O9" i="3" s="1"/>
  <c r="N20" i="3"/>
  <c r="N9" i="3" s="1"/>
  <c r="L20" i="3"/>
  <c r="K20" i="3"/>
  <c r="AM18" i="3"/>
  <c r="AD18" i="3"/>
  <c r="U18" i="3"/>
  <c r="M18" i="3"/>
  <c r="H18" i="3"/>
  <c r="G18" i="3"/>
  <c r="F18" i="3"/>
  <c r="E18" i="3"/>
  <c r="D18" i="3" s="1"/>
  <c r="C18" i="3"/>
  <c r="B18" i="3"/>
  <c r="AM17" i="3"/>
  <c r="AD17" i="3"/>
  <c r="U17" i="3"/>
  <c r="M17" i="3"/>
  <c r="H17" i="3"/>
  <c r="G17" i="3"/>
  <c r="F17" i="3"/>
  <c r="E17" i="3"/>
  <c r="D17" i="3"/>
  <c r="C17" i="3"/>
  <c r="B17" i="3"/>
  <c r="AM16" i="3"/>
  <c r="AD16" i="3"/>
  <c r="U16" i="3"/>
  <c r="M16" i="3"/>
  <c r="H16" i="3"/>
  <c r="G16" i="3"/>
  <c r="F16" i="3"/>
  <c r="E16" i="3"/>
  <c r="D16" i="3" s="1"/>
  <c r="C16" i="3"/>
  <c r="B16" i="3"/>
  <c r="AQ15" i="3"/>
  <c r="AP15" i="3"/>
  <c r="AO15" i="3"/>
  <c r="AL15" i="3"/>
  <c r="AH15" i="3"/>
  <c r="AG15" i="3"/>
  <c r="AF15" i="3"/>
  <c r="AE15" i="3"/>
  <c r="AC15" i="3"/>
  <c r="AB15" i="3"/>
  <c r="Y15" i="3"/>
  <c r="X15" i="3"/>
  <c r="W15" i="3"/>
  <c r="V15" i="3"/>
  <c r="T15" i="3"/>
  <c r="S15" i="3"/>
  <c r="Q15" i="3"/>
  <c r="P15" i="3"/>
  <c r="O15" i="3"/>
  <c r="N15" i="3"/>
  <c r="L15" i="3"/>
  <c r="K15" i="3"/>
  <c r="H15" i="3"/>
  <c r="G15" i="3"/>
  <c r="F15" i="3"/>
  <c r="AM14" i="3"/>
  <c r="AD14" i="3"/>
  <c r="AD15" i="3" s="1"/>
  <c r="U14" i="3"/>
  <c r="U10" i="3" s="1"/>
  <c r="M14" i="3"/>
  <c r="M15" i="3" s="1"/>
  <c r="H14" i="3"/>
  <c r="G14" i="3"/>
  <c r="F14" i="3"/>
  <c r="E14" i="3"/>
  <c r="E15" i="3" s="1"/>
  <c r="D14" i="3"/>
  <c r="C14" i="3"/>
  <c r="C15" i="3" s="1"/>
  <c r="B14" i="3"/>
  <c r="B15" i="3" s="1"/>
  <c r="AM13" i="3"/>
  <c r="D13" i="3" s="1"/>
  <c r="AD13" i="3"/>
  <c r="U13" i="3"/>
  <c r="M13" i="3"/>
  <c r="H13" i="3"/>
  <c r="G13" i="3"/>
  <c r="G9" i="3" s="1"/>
  <c r="F13" i="3"/>
  <c r="E13" i="3"/>
  <c r="C13" i="3"/>
  <c r="B13" i="3"/>
  <c r="AL10" i="3"/>
  <c r="AK10" i="3"/>
  <c r="AH10" i="3"/>
  <c r="AC10" i="3"/>
  <c r="AC11" i="3" s="1"/>
  <c r="AB10" i="3"/>
  <c r="Y10" i="3"/>
  <c r="X10" i="3"/>
  <c r="S10" i="3"/>
  <c r="S11" i="3" s="1"/>
  <c r="Q10" i="3"/>
  <c r="P10" i="3"/>
  <c r="O10" i="3"/>
  <c r="AP9" i="3"/>
  <c r="AO9" i="3"/>
  <c r="AN9" i="3"/>
  <c r="AM9" i="3" s="1"/>
  <c r="AF9" i="3"/>
  <c r="AE9" i="3"/>
  <c r="AC9" i="3"/>
  <c r="V9" i="3"/>
  <c r="T9" i="3"/>
  <c r="S9" i="3"/>
  <c r="L9" i="3"/>
  <c r="K9" i="3"/>
  <c r="O11" i="3" l="1"/>
  <c r="AH11" i="3"/>
  <c r="G22" i="3"/>
  <c r="G10" i="3"/>
  <c r="G11" i="3" s="1"/>
  <c r="X11" i="3"/>
  <c r="E9" i="3"/>
  <c r="U11" i="3"/>
  <c r="B22" i="3"/>
  <c r="U22" i="3"/>
  <c r="F9" i="3"/>
  <c r="D15" i="3"/>
  <c r="AM10" i="3"/>
  <c r="AM11" i="3" s="1"/>
  <c r="F10" i="3"/>
  <c r="F22" i="3"/>
  <c r="D40" i="3"/>
  <c r="T10" i="3"/>
  <c r="T11" i="3" s="1"/>
  <c r="AM15" i="3"/>
  <c r="AE10" i="3"/>
  <c r="M10" i="3"/>
  <c r="M11" i="3" s="1"/>
  <c r="AF10" i="3"/>
  <c r="AF11" i="3" s="1"/>
  <c r="B25" i="3"/>
  <c r="U25" i="3"/>
  <c r="M20" i="3"/>
  <c r="M9" i="3" s="1"/>
  <c r="H21" i="3"/>
  <c r="C21" i="3"/>
  <c r="C22" i="3" s="1"/>
  <c r="G40" i="3"/>
  <c r="K10" i="3"/>
  <c r="K11" i="3" s="1"/>
  <c r="B10" i="3"/>
  <c r="B11" i="3" s="1"/>
  <c r="AO10" i="3"/>
  <c r="AO11" i="3" s="1"/>
  <c r="D29" i="3"/>
  <c r="D20" i="3" s="1"/>
  <c r="D9" i="3" s="1"/>
  <c r="C10" i="3"/>
  <c r="C11" i="3" s="1"/>
  <c r="AP10" i="3"/>
  <c r="AP11" i="3" s="1"/>
  <c r="N10" i="3"/>
  <c r="N11" i="3" s="1"/>
  <c r="W10" i="3"/>
  <c r="W11" i="3" s="1"/>
  <c r="AG10" i="3"/>
  <c r="AG11" i="3" s="1"/>
  <c r="U15" i="3"/>
  <c r="E21" i="3"/>
  <c r="L22" i="3"/>
  <c r="F28" i="3"/>
  <c r="D30" i="3"/>
  <c r="D31" i="3" s="1"/>
  <c r="AD20" i="3"/>
  <c r="AD9" i="3" s="1"/>
  <c r="V22" i="3"/>
  <c r="D25" i="3"/>
  <c r="H10" i="3" l="1"/>
  <c r="H11" i="3" s="1"/>
  <c r="H22" i="3"/>
  <c r="AD22" i="3"/>
  <c r="AE11" i="3"/>
  <c r="AD10" i="3"/>
  <c r="AD11" i="3" s="1"/>
  <c r="E10" i="3"/>
  <c r="E11" i="3" s="1"/>
  <c r="E22" i="3"/>
  <c r="F11" i="3"/>
  <c r="D21" i="3"/>
  <c r="M22" i="3"/>
  <c r="D22" i="3" l="1"/>
  <c r="D10" i="3"/>
  <c r="D11" i="3" s="1"/>
  <c r="AQ40" i="10" l="1"/>
  <c r="AP40" i="10"/>
  <c r="AO40" i="10"/>
  <c r="AN40" i="10"/>
  <c r="AL40" i="10"/>
  <c r="AK40" i="10"/>
  <c r="AM39" i="10"/>
  <c r="AM40" i="10" s="1"/>
  <c r="AM38" i="10"/>
  <c r="AQ37" i="10"/>
  <c r="AP37" i="10"/>
  <c r="AO37" i="10"/>
  <c r="AN37" i="10"/>
  <c r="AL37" i="10"/>
  <c r="AK37" i="10"/>
  <c r="AM36" i="10"/>
  <c r="AM37" i="10" s="1"/>
  <c r="AM35" i="10"/>
  <c r="AM34" i="10"/>
  <c r="AM33" i="10"/>
  <c r="AM32" i="10"/>
  <c r="AQ31" i="10"/>
  <c r="AP31" i="10"/>
  <c r="AO31" i="10"/>
  <c r="AN31" i="10"/>
  <c r="AL31" i="10"/>
  <c r="AK31" i="10"/>
  <c r="AM29" i="10"/>
  <c r="AM31" i="10" s="1"/>
  <c r="AQ28" i="10"/>
  <c r="AP28" i="10"/>
  <c r="AO28" i="10"/>
  <c r="AN28" i="10"/>
  <c r="AL28" i="10"/>
  <c r="AK28" i="10"/>
  <c r="AM27" i="10"/>
  <c r="AM26" i="10"/>
  <c r="AM20" i="10" s="1"/>
  <c r="AM9" i="10" s="1"/>
  <c r="AQ21" i="10"/>
  <c r="AQ10" i="10" s="1"/>
  <c r="AQ11" i="10" s="1"/>
  <c r="AP21" i="10"/>
  <c r="AO21" i="10"/>
  <c r="AN21" i="10"/>
  <c r="AL21" i="10"/>
  <c r="AL22" i="10" s="1"/>
  <c r="AK21" i="10"/>
  <c r="AK10" i="10" s="1"/>
  <c r="AK11" i="10" s="1"/>
  <c r="AQ20" i="10"/>
  <c r="AP20" i="10"/>
  <c r="AP22" i="10" s="1"/>
  <c r="AO20" i="10"/>
  <c r="AO22" i="10" s="1"/>
  <c r="AN20" i="10"/>
  <c r="AN9" i="10" s="1"/>
  <c r="AL20" i="10"/>
  <c r="AL9" i="10" s="1"/>
  <c r="AK20" i="10"/>
  <c r="AM18" i="10"/>
  <c r="AM16" i="10"/>
  <c r="AQ15" i="10"/>
  <c r="AP15" i="10"/>
  <c r="AO15" i="10"/>
  <c r="AN15" i="10"/>
  <c r="AM15" i="10"/>
  <c r="AL15" i="10"/>
  <c r="AK15" i="10"/>
  <c r="AM14" i="10"/>
  <c r="AM13" i="10"/>
  <c r="AP10" i="10"/>
  <c r="AO10" i="10"/>
  <c r="AN10" i="10"/>
  <c r="AN11" i="10" s="1"/>
  <c r="AL10" i="10"/>
  <c r="AL11" i="10" s="1"/>
  <c r="AQ9" i="10"/>
  <c r="AP9" i="10"/>
  <c r="AP11" i="10" s="1"/>
  <c r="AO9" i="10"/>
  <c r="AO11" i="10" s="1"/>
  <c r="AK9" i="10"/>
  <c r="AM21" i="10" l="1"/>
  <c r="AQ22" i="10"/>
  <c r="AM28" i="10"/>
  <c r="AN22" i="10"/>
  <c r="AK22" i="10"/>
  <c r="AM22" i="10" l="1"/>
  <c r="AM10" i="10"/>
  <c r="AM11" i="10" s="1"/>
  <c r="M18" i="21" l="1"/>
  <c r="AQ40" i="21"/>
  <c r="AP40" i="21"/>
  <c r="AO40" i="21"/>
  <c r="AN40" i="21"/>
  <c r="AM40" i="21"/>
  <c r="AL40" i="21"/>
  <c r="AK40" i="21"/>
  <c r="AH40" i="21"/>
  <c r="AF40" i="21"/>
  <c r="AE40" i="21"/>
  <c r="AD40" i="21"/>
  <c r="AC40" i="21"/>
  <c r="AB40" i="21"/>
  <c r="Y40" i="21"/>
  <c r="X40" i="21"/>
  <c r="W40" i="21"/>
  <c r="V40" i="21"/>
  <c r="U40" i="21"/>
  <c r="T40" i="21"/>
  <c r="S40" i="21"/>
  <c r="Q40" i="21"/>
  <c r="O40" i="21"/>
  <c r="N40" i="21"/>
  <c r="M40" i="21"/>
  <c r="L40" i="21"/>
  <c r="K40" i="21"/>
  <c r="H40" i="21"/>
  <c r="G40" i="21"/>
  <c r="F40" i="21"/>
  <c r="C40" i="21"/>
  <c r="H39" i="21"/>
  <c r="G39" i="21"/>
  <c r="F39" i="21"/>
  <c r="E39" i="21"/>
  <c r="E40" i="21" s="1"/>
  <c r="C39" i="21"/>
  <c r="B39" i="21"/>
  <c r="B40" i="21" s="1"/>
  <c r="H38" i="21"/>
  <c r="G38" i="21"/>
  <c r="F38" i="21"/>
  <c r="E38" i="21"/>
  <c r="D38" i="21"/>
  <c r="C38" i="21"/>
  <c r="B38" i="21"/>
  <c r="AQ37" i="21"/>
  <c r="AP37" i="21"/>
  <c r="AO37" i="21"/>
  <c r="AN37" i="21"/>
  <c r="AM37" i="21"/>
  <c r="AL37" i="21"/>
  <c r="AK37" i="21"/>
  <c r="Y37" i="21"/>
  <c r="X37" i="21"/>
  <c r="W37" i="21"/>
  <c r="V37" i="21"/>
  <c r="U37" i="21"/>
  <c r="T37" i="21"/>
  <c r="S37" i="21"/>
  <c r="F37" i="21"/>
  <c r="C37" i="21"/>
  <c r="B37" i="21"/>
  <c r="H36" i="21"/>
  <c r="H37" i="21" s="1"/>
  <c r="G36" i="21"/>
  <c r="F36" i="21"/>
  <c r="E36" i="21"/>
  <c r="E37" i="21" s="1"/>
  <c r="C36" i="21"/>
  <c r="B36" i="21"/>
  <c r="H35" i="21"/>
  <c r="G35" i="21"/>
  <c r="G37" i="21" s="1"/>
  <c r="F35" i="21"/>
  <c r="E35" i="21"/>
  <c r="C35" i="21"/>
  <c r="B35" i="21"/>
  <c r="AH34" i="21"/>
  <c r="AG34" i="21"/>
  <c r="AF34" i="21"/>
  <c r="AE34" i="21"/>
  <c r="AD34" i="21"/>
  <c r="AC34" i="21"/>
  <c r="Y34" i="21"/>
  <c r="X34" i="21"/>
  <c r="W34" i="21"/>
  <c r="V34" i="21"/>
  <c r="U34" i="21"/>
  <c r="T34" i="21"/>
  <c r="S34" i="21"/>
  <c r="M33" i="21"/>
  <c r="H33" i="21"/>
  <c r="D33" i="21" s="1"/>
  <c r="D34" i="21" s="1"/>
  <c r="G33" i="21"/>
  <c r="G34" i="21" s="1"/>
  <c r="F33" i="21"/>
  <c r="F34" i="21" s="1"/>
  <c r="E33" i="21"/>
  <c r="E34" i="21" s="1"/>
  <c r="C33" i="21"/>
  <c r="C34" i="21" s="1"/>
  <c r="B33" i="21"/>
  <c r="B34" i="21" s="1"/>
  <c r="H32" i="21"/>
  <c r="G32" i="21"/>
  <c r="D32" i="21" s="1"/>
  <c r="F32" i="21"/>
  <c r="E32" i="21"/>
  <c r="C32" i="21"/>
  <c r="B32" i="21"/>
  <c r="AQ31" i="21"/>
  <c r="AP31" i="21"/>
  <c r="AO31" i="21"/>
  <c r="AN31" i="21"/>
  <c r="AL31" i="21"/>
  <c r="AK31" i="21"/>
  <c r="Y31" i="21"/>
  <c r="X31" i="21"/>
  <c r="W31" i="21"/>
  <c r="V31" i="21"/>
  <c r="T31" i="21"/>
  <c r="S31" i="21"/>
  <c r="Q31" i="21"/>
  <c r="P31" i="21"/>
  <c r="O31" i="21"/>
  <c r="N31" i="21"/>
  <c r="L31" i="21"/>
  <c r="K31" i="21"/>
  <c r="G31" i="21"/>
  <c r="F31" i="21"/>
  <c r="AM30" i="21"/>
  <c r="AM31" i="21" s="1"/>
  <c r="AD30" i="21"/>
  <c r="U30" i="21"/>
  <c r="U31" i="21" s="1"/>
  <c r="M30" i="21"/>
  <c r="M31" i="21" s="1"/>
  <c r="H30" i="21"/>
  <c r="G30" i="21"/>
  <c r="F30" i="21"/>
  <c r="D30" i="21" s="1"/>
  <c r="E30" i="21"/>
  <c r="E31" i="21" s="1"/>
  <c r="C30" i="21"/>
  <c r="B30" i="21"/>
  <c r="B31" i="21" s="1"/>
  <c r="AM29" i="21"/>
  <c r="AD29" i="21"/>
  <c r="U29" i="21"/>
  <c r="H29" i="21"/>
  <c r="H31" i="21" s="1"/>
  <c r="G29" i="21"/>
  <c r="F29" i="21"/>
  <c r="E29" i="21"/>
  <c r="C29" i="21"/>
  <c r="C31" i="21" s="1"/>
  <c r="B29" i="21"/>
  <c r="AQ28" i="21"/>
  <c r="AP28" i="21"/>
  <c r="AO28" i="21"/>
  <c r="AN28" i="21"/>
  <c r="AL28" i="21"/>
  <c r="AK28" i="21"/>
  <c r="Y28" i="21"/>
  <c r="X28" i="21"/>
  <c r="W28" i="21"/>
  <c r="V28" i="21"/>
  <c r="T28" i="21"/>
  <c r="S28" i="21"/>
  <c r="Q28" i="21"/>
  <c r="P28" i="21"/>
  <c r="O28" i="21"/>
  <c r="N28" i="21"/>
  <c r="M28" i="21"/>
  <c r="L28" i="21"/>
  <c r="K28" i="21"/>
  <c r="G28" i="21"/>
  <c r="AM27" i="21"/>
  <c r="AM28" i="21" s="1"/>
  <c r="AD27" i="21"/>
  <c r="AD21" i="21" s="1"/>
  <c r="AD22" i="21" s="1"/>
  <c r="U27" i="21"/>
  <c r="U28" i="21" s="1"/>
  <c r="H27" i="21"/>
  <c r="G27" i="21"/>
  <c r="F27" i="21"/>
  <c r="D27" i="21" s="1"/>
  <c r="D28" i="21" s="1"/>
  <c r="E27" i="21"/>
  <c r="C27" i="21"/>
  <c r="C28" i="21" s="1"/>
  <c r="B27" i="21"/>
  <c r="B28" i="21" s="1"/>
  <c r="H26" i="21"/>
  <c r="H28" i="21" s="1"/>
  <c r="G26" i="21"/>
  <c r="F26" i="21"/>
  <c r="E26" i="21"/>
  <c r="D26" i="21" s="1"/>
  <c r="C26" i="21"/>
  <c r="B26" i="21"/>
  <c r="AQ25" i="21"/>
  <c r="AP25" i="21"/>
  <c r="AO25" i="21"/>
  <c r="AN25" i="21"/>
  <c r="AL25" i="21"/>
  <c r="AK25" i="21"/>
  <c r="Y25" i="21"/>
  <c r="X25" i="21"/>
  <c r="W25" i="21"/>
  <c r="V25" i="21"/>
  <c r="T25" i="21"/>
  <c r="S25" i="21"/>
  <c r="Q25" i="21"/>
  <c r="P25" i="21"/>
  <c r="O25" i="21"/>
  <c r="N25" i="21"/>
  <c r="L25" i="21"/>
  <c r="K25" i="21"/>
  <c r="E25" i="21"/>
  <c r="AM24" i="21"/>
  <c r="AM21" i="21" s="1"/>
  <c r="AD24" i="21"/>
  <c r="M24" i="21"/>
  <c r="M25" i="21" s="1"/>
  <c r="H24" i="21"/>
  <c r="H25" i="21" s="1"/>
  <c r="G24" i="21"/>
  <c r="G25" i="21" s="1"/>
  <c r="F24" i="21"/>
  <c r="F25" i="21" s="1"/>
  <c r="E24" i="21"/>
  <c r="C24" i="21"/>
  <c r="C21" i="21" s="1"/>
  <c r="B24" i="21"/>
  <c r="AM23" i="21"/>
  <c r="AD23" i="21"/>
  <c r="U23" i="21"/>
  <c r="U20" i="21" s="1"/>
  <c r="U9" i="21" s="1"/>
  <c r="M23" i="21"/>
  <c r="H23" i="21"/>
  <c r="G23" i="21"/>
  <c r="G20" i="21" s="1"/>
  <c r="G9" i="21" s="1"/>
  <c r="F23" i="21"/>
  <c r="D23" i="21" s="1"/>
  <c r="E23" i="21"/>
  <c r="C23" i="21"/>
  <c r="B23" i="21"/>
  <c r="B20" i="21" s="1"/>
  <c r="B9" i="21" s="1"/>
  <c r="AQ22" i="21"/>
  <c r="AO22" i="21"/>
  <c r="AN22" i="21"/>
  <c r="AK22" i="21"/>
  <c r="AH22" i="21"/>
  <c r="AG22" i="21"/>
  <c r="AE22" i="21"/>
  <c r="Y22" i="21"/>
  <c r="X22" i="21"/>
  <c r="W22" i="21"/>
  <c r="T22" i="21"/>
  <c r="Q22" i="21"/>
  <c r="P22" i="21"/>
  <c r="O22" i="21"/>
  <c r="N22" i="21"/>
  <c r="L22" i="21"/>
  <c r="K22" i="21"/>
  <c r="AQ21" i="21"/>
  <c r="AQ10" i="21" s="1"/>
  <c r="AQ11" i="21" s="1"/>
  <c r="AP21" i="21"/>
  <c r="AP22" i="21" s="1"/>
  <c r="AO21" i="21"/>
  <c r="AN21" i="21"/>
  <c r="AN10" i="21" s="1"/>
  <c r="AL21" i="21"/>
  <c r="AL22" i="21" s="1"/>
  <c r="AK21" i="21"/>
  <c r="AH21" i="21"/>
  <c r="AH10" i="21" s="1"/>
  <c r="AH11" i="21" s="1"/>
  <c r="AG21" i="21"/>
  <c r="AG10" i="21" s="1"/>
  <c r="AG11" i="21" s="1"/>
  <c r="AF21" i="21"/>
  <c r="AF22" i="21" s="1"/>
  <c r="AE21" i="21"/>
  <c r="AC21" i="21"/>
  <c r="AC22" i="21" s="1"/>
  <c r="AB21" i="21"/>
  <c r="AB22" i="21" s="1"/>
  <c r="Y21" i="21"/>
  <c r="X21" i="21"/>
  <c r="X10" i="21" s="1"/>
  <c r="X11" i="21" s="1"/>
  <c r="W21" i="21"/>
  <c r="W10" i="21" s="1"/>
  <c r="W11" i="21" s="1"/>
  <c r="V21" i="21"/>
  <c r="V22" i="21" s="1"/>
  <c r="T21" i="21"/>
  <c r="T10" i="21" s="1"/>
  <c r="T11" i="21" s="1"/>
  <c r="S21" i="21"/>
  <c r="S22" i="21" s="1"/>
  <c r="H21" i="21"/>
  <c r="H22" i="21" s="1"/>
  <c r="E21" i="21"/>
  <c r="AQ20" i="21"/>
  <c r="AQ9" i="21" s="1"/>
  <c r="AP20" i="21"/>
  <c r="AP9" i="21" s="1"/>
  <c r="AO20" i="21"/>
  <c r="AN20" i="21"/>
  <c r="AN9" i="21" s="1"/>
  <c r="AM20" i="21"/>
  <c r="AM9" i="21" s="1"/>
  <c r="AL20" i="21"/>
  <c r="AK20" i="21"/>
  <c r="AH20" i="21"/>
  <c r="AG20" i="21"/>
  <c r="AG9" i="21" s="1"/>
  <c r="AF20" i="21"/>
  <c r="AF9" i="21" s="1"/>
  <c r="AE20" i="21"/>
  <c r="AD20" i="21"/>
  <c r="AD9" i="21" s="1"/>
  <c r="AC20" i="21"/>
  <c r="AC9" i="21" s="1"/>
  <c r="AB20" i="21"/>
  <c r="Y20" i="21"/>
  <c r="X20" i="21"/>
  <c r="W20" i="21"/>
  <c r="W9" i="21" s="1"/>
  <c r="V20" i="21"/>
  <c r="V9" i="21" s="1"/>
  <c r="T20" i="21"/>
  <c r="T9" i="21" s="1"/>
  <c r="S20" i="21"/>
  <c r="S9" i="21" s="1"/>
  <c r="Q20" i="21"/>
  <c r="P20" i="21"/>
  <c r="O20" i="21"/>
  <c r="N20" i="21"/>
  <c r="N9" i="21" s="1"/>
  <c r="N11" i="21" s="1"/>
  <c r="M20" i="21"/>
  <c r="M22" i="21" s="1"/>
  <c r="L20" i="21"/>
  <c r="K20" i="21"/>
  <c r="K9" i="21" s="1"/>
  <c r="K11" i="21" s="1"/>
  <c r="H20" i="21"/>
  <c r="H9" i="21" s="1"/>
  <c r="C20" i="21"/>
  <c r="C9" i="21" s="1"/>
  <c r="AM18" i="21"/>
  <c r="AD18" i="21"/>
  <c r="U18" i="21"/>
  <c r="H18" i="21"/>
  <c r="G18" i="21"/>
  <c r="F18" i="21"/>
  <c r="E18" i="21"/>
  <c r="D18" i="21" s="1"/>
  <c r="C18" i="21"/>
  <c r="B18" i="21"/>
  <c r="AM17" i="21"/>
  <c r="AD17" i="21"/>
  <c r="U17" i="21"/>
  <c r="M17" i="21"/>
  <c r="H17" i="21"/>
  <c r="G17" i="21"/>
  <c r="F17" i="21"/>
  <c r="E17" i="21"/>
  <c r="D17" i="21" s="1"/>
  <c r="C17" i="21"/>
  <c r="B17" i="21"/>
  <c r="AD16" i="21"/>
  <c r="U16" i="21"/>
  <c r="M16" i="21"/>
  <c r="H16" i="21"/>
  <c r="G16" i="21"/>
  <c r="D16" i="21" s="1"/>
  <c r="F16" i="21"/>
  <c r="E16" i="21"/>
  <c r="C16" i="21"/>
  <c r="B16" i="21"/>
  <c r="AQ15" i="21"/>
  <c r="AP15" i="21"/>
  <c r="AO15" i="21"/>
  <c r="AN15" i="21"/>
  <c r="AM15" i="21"/>
  <c r="AL15" i="21"/>
  <c r="AK15" i="21"/>
  <c r="AH15" i="21"/>
  <c r="AG15" i="21"/>
  <c r="AF15" i="21"/>
  <c r="AE15" i="21"/>
  <c r="AC15" i="21"/>
  <c r="AB15" i="21"/>
  <c r="Y15" i="21"/>
  <c r="X15" i="21"/>
  <c r="W15" i="21"/>
  <c r="V15" i="21"/>
  <c r="U15" i="21"/>
  <c r="T15" i="21"/>
  <c r="S15" i="21"/>
  <c r="Q15" i="21"/>
  <c r="P15" i="21"/>
  <c r="O15" i="21"/>
  <c r="M15" i="21"/>
  <c r="L15" i="21"/>
  <c r="K15" i="21"/>
  <c r="AD14" i="21"/>
  <c r="AD15" i="21" s="1"/>
  <c r="U14" i="21"/>
  <c r="H14" i="21"/>
  <c r="H15" i="21" s="1"/>
  <c r="G14" i="21"/>
  <c r="G15" i="21" s="1"/>
  <c r="F14" i="21"/>
  <c r="E14" i="21"/>
  <c r="E15" i="21" s="1"/>
  <c r="C14" i="21"/>
  <c r="C15" i="21" s="1"/>
  <c r="B14" i="21"/>
  <c r="B15" i="21" s="1"/>
  <c r="AD13" i="21"/>
  <c r="H13" i="21"/>
  <c r="G13" i="21"/>
  <c r="F13" i="21"/>
  <c r="E13" i="21"/>
  <c r="D13" i="21" s="1"/>
  <c r="C13" i="21"/>
  <c r="B13" i="21"/>
  <c r="AP10" i="21"/>
  <c r="AP11" i="21" s="1"/>
  <c r="AO10" i="21"/>
  <c r="AO11" i="21" s="1"/>
  <c r="AL10" i="21"/>
  <c r="AL11" i="21" s="1"/>
  <c r="AK10" i="21"/>
  <c r="AK11" i="21" s="1"/>
  <c r="AF10" i="21"/>
  <c r="AE10" i="21"/>
  <c r="AE11" i="21" s="1"/>
  <c r="AB10" i="21"/>
  <c r="AB11" i="21" s="1"/>
  <c r="Y10" i="21"/>
  <c r="Y11" i="21" s="1"/>
  <c r="V10" i="21"/>
  <c r="V11" i="21" s="1"/>
  <c r="Q10" i="21"/>
  <c r="Q11" i="21" s="1"/>
  <c r="P10" i="21"/>
  <c r="P11" i="21" s="1"/>
  <c r="O10" i="21"/>
  <c r="N10" i="21"/>
  <c r="M10" i="21"/>
  <c r="L10" i="21"/>
  <c r="L11" i="21" s="1"/>
  <c r="K10" i="21"/>
  <c r="AO9" i="21"/>
  <c r="AL9" i="21"/>
  <c r="AK9" i="21"/>
  <c r="AH9" i="21"/>
  <c r="AE9" i="21"/>
  <c r="AB9" i="21"/>
  <c r="Y9" i="21"/>
  <c r="X9" i="21"/>
  <c r="Q9" i="21"/>
  <c r="P9" i="21"/>
  <c r="O9" i="21"/>
  <c r="O11" i="21" s="1"/>
  <c r="L9" i="21"/>
  <c r="AM22" i="21" l="1"/>
  <c r="AM10" i="21"/>
  <c r="AM11" i="21" s="1"/>
  <c r="F10" i="21"/>
  <c r="D20" i="21"/>
  <c r="D9" i="21" s="1"/>
  <c r="C10" i="21"/>
  <c r="C11" i="21" s="1"/>
  <c r="C22" i="21"/>
  <c r="AF11" i="21"/>
  <c r="AM25" i="21"/>
  <c r="H34" i="21"/>
  <c r="D35" i="21"/>
  <c r="M9" i="21"/>
  <c r="M11" i="21" s="1"/>
  <c r="H10" i="21"/>
  <c r="H11" i="21" s="1"/>
  <c r="S10" i="21"/>
  <c r="S11" i="21" s="1"/>
  <c r="AC10" i="21"/>
  <c r="AC11" i="21" s="1"/>
  <c r="F21" i="21"/>
  <c r="D24" i="21"/>
  <c r="B25" i="21"/>
  <c r="U25" i="21"/>
  <c r="E28" i="21"/>
  <c r="AD10" i="21"/>
  <c r="AD11" i="21" s="1"/>
  <c r="D14" i="21"/>
  <c r="G21" i="21"/>
  <c r="C25" i="21"/>
  <c r="F28" i="21"/>
  <c r="D39" i="21"/>
  <c r="D40" i="21" s="1"/>
  <c r="E20" i="21"/>
  <c r="E9" i="21" s="1"/>
  <c r="B21" i="21"/>
  <c r="E10" i="21"/>
  <c r="E11" i="21" s="1"/>
  <c r="F20" i="21"/>
  <c r="F9" i="21" s="1"/>
  <c r="U21" i="21"/>
  <c r="D29" i="21"/>
  <c r="D31" i="21" s="1"/>
  <c r="F15" i="21"/>
  <c r="D36" i="21"/>
  <c r="D37" i="21" s="1"/>
  <c r="E22" i="21" l="1"/>
  <c r="F22" i="21"/>
  <c r="B10" i="21"/>
  <c r="B11" i="21" s="1"/>
  <c r="B22" i="21"/>
  <c r="F11" i="21"/>
  <c r="D21" i="21"/>
  <c r="D22" i="21" s="1"/>
  <c r="D25" i="21"/>
  <c r="U10" i="21"/>
  <c r="U11" i="21" s="1"/>
  <c r="U22" i="21"/>
  <c r="G22" i="21"/>
  <c r="G10" i="21"/>
  <c r="G11" i="21" s="1"/>
  <c r="D15" i="21"/>
  <c r="D10" i="21" l="1"/>
  <c r="D11" i="21" s="1"/>
  <c r="L5" i="29" l="1"/>
  <c r="L6" i="29" s="1"/>
  <c r="L7" i="29" s="1"/>
  <c r="L8" i="29" s="1"/>
  <c r="L9" i="29" s="1"/>
  <c r="L10" i="29" s="1"/>
  <c r="L11" i="29" s="1"/>
  <c r="L12" i="29" s="1"/>
  <c r="L13" i="29" s="1"/>
  <c r="L14" i="29" s="1"/>
  <c r="L15" i="29" s="1"/>
  <c r="L16" i="29" s="1"/>
  <c r="L17" i="29" s="1"/>
  <c r="L18" i="29" s="1"/>
  <c r="L19" i="29" s="1"/>
  <c r="L20" i="29" s="1"/>
  <c r="K20" i="29" l="1"/>
  <c r="K6" i="29"/>
  <c r="J9" i="29"/>
  <c r="K16" i="29"/>
  <c r="K19" i="29"/>
  <c r="K5" i="29"/>
  <c r="K4" i="29"/>
  <c r="J7" i="29"/>
  <c r="K14" i="29"/>
  <c r="J17" i="29"/>
  <c r="J20" i="29"/>
  <c r="K7" i="29"/>
  <c r="J8" i="29"/>
  <c r="J6" i="29"/>
  <c r="K13" i="29"/>
  <c r="J16" i="29"/>
  <c r="J19" i="29"/>
  <c r="J5" i="29"/>
  <c r="K11" i="29"/>
  <c r="J15" i="29"/>
  <c r="K17" i="29"/>
  <c r="J4" i="29"/>
  <c r="K9" i="29"/>
  <c r="J14" i="29"/>
  <c r="J11" i="29"/>
  <c r="K15" i="29"/>
  <c r="K8" i="29"/>
  <c r="J13" i="29"/>
  <c r="J18" i="29" l="1"/>
  <c r="K18" i="29" l="1"/>
  <c r="J10" i="29"/>
  <c r="AQ40" i="2"/>
  <c r="AP40" i="2"/>
  <c r="AO40" i="2"/>
  <c r="AL40" i="2"/>
  <c r="AK40" i="2"/>
  <c r="AH40" i="2"/>
  <c r="AG40" i="2"/>
  <c r="AF40" i="2"/>
  <c r="AE40" i="2"/>
  <c r="AC40" i="2"/>
  <c r="AB40" i="2"/>
  <c r="Y40" i="2"/>
  <c r="X40" i="2"/>
  <c r="W40" i="2"/>
  <c r="V40" i="2"/>
  <c r="U40" i="2"/>
  <c r="T40" i="2"/>
  <c r="S40" i="2"/>
  <c r="Q40" i="2"/>
  <c r="P40" i="2"/>
  <c r="O40" i="2"/>
  <c r="N40" i="2"/>
  <c r="L40" i="2"/>
  <c r="K40" i="2"/>
  <c r="AM40" i="2"/>
  <c r="M40" i="2"/>
  <c r="H39" i="2"/>
  <c r="G39" i="2"/>
  <c r="F39" i="2"/>
  <c r="E39" i="2"/>
  <c r="C39" i="2"/>
  <c r="B39" i="2"/>
  <c r="AM20" i="2"/>
  <c r="AD40" i="2"/>
  <c r="H38" i="2"/>
  <c r="G38" i="2"/>
  <c r="F38" i="2"/>
  <c r="E38" i="2"/>
  <c r="C38" i="2"/>
  <c r="C40" i="2" s="1"/>
  <c r="B38" i="2"/>
  <c r="AH37" i="2"/>
  <c r="AG37" i="2"/>
  <c r="AF37" i="2"/>
  <c r="AE37" i="2"/>
  <c r="AC37" i="2"/>
  <c r="AB37" i="2"/>
  <c r="Y37" i="2"/>
  <c r="X37" i="2"/>
  <c r="W37" i="2"/>
  <c r="V37" i="2"/>
  <c r="T37" i="2"/>
  <c r="S37" i="2"/>
  <c r="AD37" i="2"/>
  <c r="U37" i="2"/>
  <c r="H36" i="2"/>
  <c r="G36" i="2"/>
  <c r="F36" i="2"/>
  <c r="E36" i="2"/>
  <c r="C36" i="2"/>
  <c r="B36" i="2"/>
  <c r="H35" i="2"/>
  <c r="G35" i="2"/>
  <c r="F35" i="2"/>
  <c r="E35" i="2"/>
  <c r="C35" i="2"/>
  <c r="B35" i="2"/>
  <c r="AH34" i="2"/>
  <c r="AG34" i="2"/>
  <c r="AF34" i="2"/>
  <c r="AE34" i="2"/>
  <c r="AC34" i="2"/>
  <c r="AB34" i="2"/>
  <c r="Y34" i="2"/>
  <c r="X34" i="2"/>
  <c r="W34" i="2"/>
  <c r="V34" i="2"/>
  <c r="T34" i="2"/>
  <c r="S34" i="2"/>
  <c r="AD34" i="2"/>
  <c r="U34" i="2"/>
  <c r="M33" i="2"/>
  <c r="M21" i="2" s="1"/>
  <c r="M10" i="2" s="1"/>
  <c r="H33" i="2"/>
  <c r="G33" i="2"/>
  <c r="F33" i="2"/>
  <c r="E33" i="2"/>
  <c r="C33" i="2"/>
  <c r="B33" i="2"/>
  <c r="M32" i="2"/>
  <c r="H32" i="2"/>
  <c r="G32" i="2"/>
  <c r="F32" i="2"/>
  <c r="E32" i="2"/>
  <c r="C32" i="2"/>
  <c r="B32" i="2"/>
  <c r="AQ31" i="2"/>
  <c r="AP31" i="2"/>
  <c r="AO31" i="2"/>
  <c r="AM31" i="2"/>
  <c r="AL31" i="2"/>
  <c r="AK31" i="2"/>
  <c r="AH31" i="2"/>
  <c r="AG31" i="2"/>
  <c r="AF31" i="2"/>
  <c r="AE31" i="2"/>
  <c r="AC31" i="2"/>
  <c r="AB31" i="2"/>
  <c r="Y31" i="2"/>
  <c r="X31" i="2"/>
  <c r="W31" i="2"/>
  <c r="V31" i="2"/>
  <c r="T31" i="2"/>
  <c r="S31" i="2"/>
  <c r="Q31" i="2"/>
  <c r="P31" i="2"/>
  <c r="O31" i="2"/>
  <c r="N31" i="2"/>
  <c r="L31" i="2"/>
  <c r="K31" i="2"/>
  <c r="AD31" i="2"/>
  <c r="U31" i="2"/>
  <c r="H30" i="2"/>
  <c r="G30" i="2"/>
  <c r="F30" i="2"/>
  <c r="E30" i="2"/>
  <c r="C30" i="2"/>
  <c r="B30" i="2"/>
  <c r="M31" i="2"/>
  <c r="H29" i="2"/>
  <c r="G29" i="2"/>
  <c r="F29" i="2"/>
  <c r="E29" i="2"/>
  <c r="C29" i="2"/>
  <c r="B29" i="2"/>
  <c r="AQ28" i="2"/>
  <c r="AP28" i="2"/>
  <c r="AO28" i="2"/>
  <c r="AM28" i="2"/>
  <c r="AL28" i="2"/>
  <c r="AK28" i="2"/>
  <c r="AH28" i="2"/>
  <c r="AG28" i="2"/>
  <c r="AF28" i="2"/>
  <c r="AE28" i="2"/>
  <c r="AC28" i="2"/>
  <c r="AB28" i="2"/>
  <c r="X28" i="2"/>
  <c r="S28" i="2"/>
  <c r="Q28" i="2"/>
  <c r="P28" i="2"/>
  <c r="O28" i="2"/>
  <c r="N28" i="2"/>
  <c r="L28" i="2"/>
  <c r="K28" i="2"/>
  <c r="AD28" i="2"/>
  <c r="U28" i="2"/>
  <c r="H27" i="2"/>
  <c r="G27" i="2"/>
  <c r="F27" i="2"/>
  <c r="E27" i="2"/>
  <c r="C27" i="2"/>
  <c r="B27" i="2"/>
  <c r="M28" i="2"/>
  <c r="H26" i="2"/>
  <c r="G26" i="2"/>
  <c r="F26" i="2"/>
  <c r="E26" i="2"/>
  <c r="C26" i="2"/>
  <c r="B26" i="2"/>
  <c r="AQ25" i="2"/>
  <c r="AP25" i="2"/>
  <c r="AO25" i="2"/>
  <c r="AM25" i="2"/>
  <c r="AL25" i="2"/>
  <c r="AK25" i="2"/>
  <c r="AH25" i="2"/>
  <c r="AG25" i="2"/>
  <c r="AF25" i="2"/>
  <c r="AE25" i="2"/>
  <c r="AC25" i="2"/>
  <c r="AB25" i="2"/>
  <c r="Y25" i="2"/>
  <c r="X25" i="2"/>
  <c r="W25" i="2"/>
  <c r="V25" i="2"/>
  <c r="T25" i="2"/>
  <c r="S25" i="2"/>
  <c r="Q25" i="2"/>
  <c r="P25" i="2"/>
  <c r="O25" i="2"/>
  <c r="N25" i="2"/>
  <c r="L25" i="2"/>
  <c r="K25" i="2"/>
  <c r="AD25" i="2"/>
  <c r="U25" i="2"/>
  <c r="H24" i="2"/>
  <c r="G24" i="2"/>
  <c r="F24" i="2"/>
  <c r="E24" i="2"/>
  <c r="C24" i="2"/>
  <c r="B24" i="2"/>
  <c r="M20" i="2"/>
  <c r="M9" i="2" s="1"/>
  <c r="H23" i="2"/>
  <c r="G23" i="2"/>
  <c r="F23" i="2"/>
  <c r="E23" i="2"/>
  <c r="C23" i="2"/>
  <c r="B23" i="2"/>
  <c r="AQ21" i="2"/>
  <c r="AQ10" i="2" s="1"/>
  <c r="AP21" i="2"/>
  <c r="AP10" i="2" s="1"/>
  <c r="AO21" i="2"/>
  <c r="AO10" i="2" s="1"/>
  <c r="AN21" i="2"/>
  <c r="AN10" i="2" s="1"/>
  <c r="AM21" i="2"/>
  <c r="AM10" i="2" s="1"/>
  <c r="AL21" i="2"/>
  <c r="AL10" i="2" s="1"/>
  <c r="AK21" i="2"/>
  <c r="AH21" i="2"/>
  <c r="AH10" i="2" s="1"/>
  <c r="AG21" i="2"/>
  <c r="AG10" i="2" s="1"/>
  <c r="AF21" i="2"/>
  <c r="AF10" i="2" s="1"/>
  <c r="AE21" i="2"/>
  <c r="AC21" i="2"/>
  <c r="AC10" i="2" s="1"/>
  <c r="AB21" i="2"/>
  <c r="Y21" i="2"/>
  <c r="X21" i="2"/>
  <c r="X10" i="2" s="1"/>
  <c r="W21" i="2"/>
  <c r="W10" i="2" s="1"/>
  <c r="V21" i="2"/>
  <c r="U21" i="2"/>
  <c r="T21" i="2"/>
  <c r="T10" i="2" s="1"/>
  <c r="S21" i="2"/>
  <c r="S10" i="2" s="1"/>
  <c r="Q21" i="2"/>
  <c r="Q10" i="2" s="1"/>
  <c r="P21" i="2"/>
  <c r="O21" i="2"/>
  <c r="O10" i="2" s="1"/>
  <c r="N21" i="2"/>
  <c r="N10" i="2" s="1"/>
  <c r="L21" i="2"/>
  <c r="K21" i="2"/>
  <c r="K10" i="2" s="1"/>
  <c r="AQ20" i="2"/>
  <c r="AQ9" i="2" s="1"/>
  <c r="AP20" i="2"/>
  <c r="AP9" i="2" s="1"/>
  <c r="AO20" i="2"/>
  <c r="AO9" i="2" s="1"/>
  <c r="AN20" i="2"/>
  <c r="AN9" i="2" s="1"/>
  <c r="AL20" i="2"/>
  <c r="AL9" i="2" s="1"/>
  <c r="AK20" i="2"/>
  <c r="AK9" i="2" s="1"/>
  <c r="AH20" i="2"/>
  <c r="AG20" i="2"/>
  <c r="AG9" i="2" s="1"/>
  <c r="AF20" i="2"/>
  <c r="AF9" i="2" s="1"/>
  <c r="AE20" i="2"/>
  <c r="AE9" i="2" s="1"/>
  <c r="AD20" i="2"/>
  <c r="AC20" i="2"/>
  <c r="AB20" i="2"/>
  <c r="AB9" i="2" s="1"/>
  <c r="Y20" i="2"/>
  <c r="Y9" i="2" s="1"/>
  <c r="X20" i="2"/>
  <c r="W20" i="2"/>
  <c r="W9" i="2" s="1"/>
  <c r="V20" i="2"/>
  <c r="V9" i="2" s="1"/>
  <c r="U20" i="2"/>
  <c r="U9" i="2" s="1"/>
  <c r="T20" i="2"/>
  <c r="S20" i="2"/>
  <c r="S9" i="2" s="1"/>
  <c r="Q20" i="2"/>
  <c r="Q9" i="2" s="1"/>
  <c r="P20" i="2"/>
  <c r="P9" i="2" s="1"/>
  <c r="O20" i="2"/>
  <c r="N20" i="2"/>
  <c r="L20" i="2"/>
  <c r="L9" i="2" s="1"/>
  <c r="K20" i="2"/>
  <c r="M18" i="2"/>
  <c r="H18" i="2"/>
  <c r="G18" i="2"/>
  <c r="F18" i="2"/>
  <c r="E18" i="2"/>
  <c r="C18" i="2"/>
  <c r="B18" i="2"/>
  <c r="H17" i="2"/>
  <c r="G17" i="2"/>
  <c r="F17" i="2"/>
  <c r="E17" i="2"/>
  <c r="C17" i="2"/>
  <c r="B17" i="2"/>
  <c r="H16" i="2"/>
  <c r="G16" i="2"/>
  <c r="F16" i="2"/>
  <c r="E16" i="2"/>
  <c r="C16" i="2"/>
  <c r="B16" i="2"/>
  <c r="AQ15" i="2"/>
  <c r="AP15" i="2"/>
  <c r="AO15" i="2"/>
  <c r="AL15" i="2"/>
  <c r="AK15" i="2"/>
  <c r="AH15" i="2"/>
  <c r="AG15" i="2"/>
  <c r="AF15" i="2"/>
  <c r="AE15" i="2"/>
  <c r="AC15" i="2"/>
  <c r="AB15" i="2"/>
  <c r="Y15" i="2"/>
  <c r="X15" i="2"/>
  <c r="W15" i="2"/>
  <c r="V15" i="2"/>
  <c r="T15" i="2"/>
  <c r="S15" i="2"/>
  <c r="L15" i="2"/>
  <c r="K15" i="2"/>
  <c r="AM15" i="2"/>
  <c r="M15" i="2"/>
  <c r="H14" i="2"/>
  <c r="G14" i="2"/>
  <c r="F14" i="2"/>
  <c r="E14" i="2"/>
  <c r="C14" i="2"/>
  <c r="B14" i="2"/>
  <c r="AD15" i="2"/>
  <c r="U15" i="2"/>
  <c r="H13" i="2"/>
  <c r="G13" i="2"/>
  <c r="F13" i="2"/>
  <c r="F15" i="2" s="1"/>
  <c r="E13" i="2"/>
  <c r="C13" i="2"/>
  <c r="B13" i="2"/>
  <c r="H34" i="2" l="1"/>
  <c r="D14" i="2"/>
  <c r="D33" i="2"/>
  <c r="E37" i="2"/>
  <c r="G31" i="2"/>
  <c r="E28" i="2"/>
  <c r="H25" i="2"/>
  <c r="AP11" i="2"/>
  <c r="AO11" i="2"/>
  <c r="AP22" i="2"/>
  <c r="AQ22" i="2"/>
  <c r="AK22" i="2"/>
  <c r="AL11" i="2"/>
  <c r="AL22" i="2"/>
  <c r="D18" i="2"/>
  <c r="AQ11" i="2"/>
  <c r="AC22" i="2"/>
  <c r="AH22" i="2"/>
  <c r="AB22" i="2"/>
  <c r="AC9" i="2"/>
  <c r="AC11" i="2" s="1"/>
  <c r="AB10" i="2"/>
  <c r="AF22" i="2"/>
  <c r="AG22" i="2"/>
  <c r="AE22" i="2"/>
  <c r="AF11" i="2"/>
  <c r="AG11" i="2"/>
  <c r="G15" i="2"/>
  <c r="E15" i="2"/>
  <c r="D17" i="2"/>
  <c r="G25" i="2"/>
  <c r="B34" i="2"/>
  <c r="G20" i="2"/>
  <c r="G9" i="2" s="1"/>
  <c r="D32" i="2"/>
  <c r="D34" i="2" s="1"/>
  <c r="C34" i="2"/>
  <c r="G34" i="2"/>
  <c r="F21" i="2"/>
  <c r="X22" i="2"/>
  <c r="S11" i="2"/>
  <c r="F37" i="2"/>
  <c r="S22" i="2"/>
  <c r="B37" i="2"/>
  <c r="U22" i="2"/>
  <c r="V22" i="2"/>
  <c r="W11" i="2"/>
  <c r="H40" i="2"/>
  <c r="Y22" i="2"/>
  <c r="F20" i="2"/>
  <c r="F9" i="2" s="1"/>
  <c r="T22" i="2"/>
  <c r="W22" i="2"/>
  <c r="V10" i="2"/>
  <c r="V11" i="2" s="1"/>
  <c r="F40" i="2"/>
  <c r="B40" i="2"/>
  <c r="D39" i="2"/>
  <c r="G40" i="2"/>
  <c r="C37" i="2"/>
  <c r="G37" i="2"/>
  <c r="B21" i="2"/>
  <c r="B10" i="2" s="1"/>
  <c r="D36" i="2"/>
  <c r="D29" i="2"/>
  <c r="B31" i="2"/>
  <c r="C31" i="2"/>
  <c r="H31" i="2"/>
  <c r="G21" i="2"/>
  <c r="G10" i="2" s="1"/>
  <c r="H21" i="2"/>
  <c r="H10" i="2" s="1"/>
  <c r="C21" i="2"/>
  <c r="C10" i="2" s="1"/>
  <c r="D30" i="2"/>
  <c r="N22" i="2"/>
  <c r="H28" i="2"/>
  <c r="D27" i="2"/>
  <c r="B28" i="2"/>
  <c r="C28" i="2"/>
  <c r="N9" i="2"/>
  <c r="N11" i="2" s="1"/>
  <c r="E20" i="2"/>
  <c r="E9" i="2" s="1"/>
  <c r="B20" i="2"/>
  <c r="B9" i="2" s="1"/>
  <c r="C20" i="2"/>
  <c r="G28" i="2"/>
  <c r="O22" i="2"/>
  <c r="K22" i="2"/>
  <c r="E25" i="2"/>
  <c r="D24" i="2"/>
  <c r="L22" i="2"/>
  <c r="B25" i="2"/>
  <c r="H20" i="2"/>
  <c r="H9" i="2" s="1"/>
  <c r="C25" i="2"/>
  <c r="Q22" i="2"/>
  <c r="Q11" i="2"/>
  <c r="P22" i="2"/>
  <c r="D16" i="2"/>
  <c r="B15" i="2"/>
  <c r="H15" i="2"/>
  <c r="C15" i="2"/>
  <c r="AM9" i="2"/>
  <c r="AM11" i="2" s="1"/>
  <c r="AM22" i="2"/>
  <c r="M11" i="2"/>
  <c r="M22" i="2"/>
  <c r="K9" i="2"/>
  <c r="K11" i="2" s="1"/>
  <c r="T9" i="2"/>
  <c r="T11" i="2" s="1"/>
  <c r="AD9" i="2"/>
  <c r="P10" i="2"/>
  <c r="P11" i="2" s="1"/>
  <c r="Y10" i="2"/>
  <c r="Y11" i="2" s="1"/>
  <c r="AK10" i="2"/>
  <c r="AK11" i="2" s="1"/>
  <c r="AD21" i="2"/>
  <c r="AD22" i="2" s="1"/>
  <c r="D23" i="2"/>
  <c r="F25" i="2"/>
  <c r="D26" i="2"/>
  <c r="F28" i="2"/>
  <c r="H37" i="2"/>
  <c r="E40" i="2"/>
  <c r="D38" i="2"/>
  <c r="D13" i="2"/>
  <c r="D15" i="2" s="1"/>
  <c r="AO22" i="2"/>
  <c r="E31" i="2"/>
  <c r="E34" i="2"/>
  <c r="O9" i="2"/>
  <c r="O11" i="2" s="1"/>
  <c r="X9" i="2"/>
  <c r="X11" i="2" s="1"/>
  <c r="AH9" i="2"/>
  <c r="AH11" i="2" s="1"/>
  <c r="L10" i="2"/>
  <c r="L11" i="2" s="1"/>
  <c r="U10" i="2"/>
  <c r="U11" i="2" s="1"/>
  <c r="AE10" i="2"/>
  <c r="AE11" i="2" s="1"/>
  <c r="E21" i="2"/>
  <c r="F31" i="2"/>
  <c r="F34" i="2"/>
  <c r="M25" i="2"/>
  <c r="D35" i="2"/>
  <c r="D31" i="2" l="1"/>
  <c r="D25" i="2"/>
  <c r="D37" i="2"/>
  <c r="D21" i="2"/>
  <c r="D10" i="2" s="1"/>
  <c r="K12" i="29" s="1"/>
  <c r="F22" i="2"/>
  <c r="AB11" i="2"/>
  <c r="F10" i="2"/>
  <c r="D28" i="2"/>
  <c r="C22" i="2"/>
  <c r="D40" i="2"/>
  <c r="G22" i="2"/>
  <c r="H22" i="2"/>
  <c r="H11" i="2"/>
  <c r="G11" i="2"/>
  <c r="B22" i="2"/>
  <c r="C9" i="2"/>
  <c r="C11" i="2" s="1"/>
  <c r="B11" i="2"/>
  <c r="J12" i="29"/>
  <c r="E22" i="2"/>
  <c r="E10" i="2"/>
  <c r="D20" i="2"/>
  <c r="D9" i="2" s="1"/>
  <c r="AD10" i="2"/>
  <c r="K10" i="29" l="1"/>
  <c r="F11" i="2"/>
  <c r="AD11" i="2"/>
  <c r="E11" i="2"/>
  <c r="D11" i="2"/>
  <c r="D22" i="2"/>
  <c r="D58" i="11" l="1"/>
  <c r="D70" i="27" l="1"/>
  <c r="D54" i="27"/>
  <c r="H93" i="5"/>
  <c r="G93" i="5"/>
  <c r="F93" i="5"/>
  <c r="E93" i="5"/>
  <c r="D93" i="5"/>
  <c r="C93" i="5"/>
  <c r="B93" i="5"/>
  <c r="H86" i="5"/>
  <c r="G86" i="5"/>
  <c r="F86" i="5"/>
  <c r="E86" i="5"/>
  <c r="D86" i="5"/>
  <c r="C86" i="5"/>
  <c r="B86" i="5"/>
  <c r="H76" i="5"/>
  <c r="G76" i="5"/>
  <c r="G113" i="5" s="1"/>
  <c r="F76" i="5"/>
  <c r="E76" i="5"/>
  <c r="C76" i="5"/>
  <c r="B76" i="5"/>
  <c r="H75" i="5"/>
  <c r="G75" i="5"/>
  <c r="G112" i="5" s="1"/>
  <c r="F75" i="5"/>
  <c r="F112" i="5" s="1"/>
  <c r="E75" i="5"/>
  <c r="E112" i="5" s="1"/>
  <c r="C75" i="5"/>
  <c r="C112" i="5" s="1"/>
  <c r="B75" i="5"/>
  <c r="B112" i="5" s="1"/>
  <c r="H73" i="5"/>
  <c r="H110" i="5" s="1"/>
  <c r="G73" i="5"/>
  <c r="F73" i="5"/>
  <c r="F110" i="5" s="1"/>
  <c r="E73" i="5"/>
  <c r="E110" i="5" s="1"/>
  <c r="D73" i="5"/>
  <c r="C73" i="5"/>
  <c r="C110" i="5" s="1"/>
  <c r="B73" i="5"/>
  <c r="B110" i="5" s="1"/>
  <c r="H72" i="5"/>
  <c r="H109" i="5" s="1"/>
  <c r="G72" i="5"/>
  <c r="G109" i="5" s="1"/>
  <c r="F72" i="5"/>
  <c r="E72" i="5"/>
  <c r="C72" i="5"/>
  <c r="C109" i="5" s="1"/>
  <c r="B72" i="5"/>
  <c r="B109" i="5" s="1"/>
  <c r="H70" i="5"/>
  <c r="H107" i="5" s="1"/>
  <c r="G70" i="5"/>
  <c r="G107" i="5" s="1"/>
  <c r="F70" i="5"/>
  <c r="E70" i="5"/>
  <c r="C70" i="5"/>
  <c r="C107" i="5" s="1"/>
  <c r="B70" i="5"/>
  <c r="B107" i="5" s="1"/>
  <c r="H69" i="5"/>
  <c r="H106" i="5" s="1"/>
  <c r="G69" i="5"/>
  <c r="G106" i="5" s="1"/>
  <c r="F69" i="5"/>
  <c r="F106" i="5" s="1"/>
  <c r="E69" i="5"/>
  <c r="E106" i="5" s="1"/>
  <c r="C69" i="5"/>
  <c r="B69" i="5"/>
  <c r="H67" i="5"/>
  <c r="G67" i="5"/>
  <c r="F67" i="5"/>
  <c r="F104" i="5" s="1"/>
  <c r="E67" i="5"/>
  <c r="D67" i="5"/>
  <c r="C67" i="5"/>
  <c r="B67" i="5"/>
  <c r="H66" i="5"/>
  <c r="H103" i="5" s="1"/>
  <c r="G66" i="5"/>
  <c r="G103" i="5" s="1"/>
  <c r="F66" i="5"/>
  <c r="F103" i="5" s="1"/>
  <c r="E66" i="5"/>
  <c r="E103" i="5" s="1"/>
  <c r="C66" i="5"/>
  <c r="C103" i="5" s="1"/>
  <c r="B66" i="5"/>
  <c r="H64" i="5"/>
  <c r="G64" i="5"/>
  <c r="F64" i="5"/>
  <c r="E64" i="5"/>
  <c r="C64" i="5"/>
  <c r="C101" i="5" s="1"/>
  <c r="B64" i="5"/>
  <c r="H63" i="5"/>
  <c r="H100" i="5" s="1"/>
  <c r="G63" i="5"/>
  <c r="G100" i="5" s="1"/>
  <c r="F63" i="5"/>
  <c r="F100" i="5" s="1"/>
  <c r="E63" i="5"/>
  <c r="E100" i="5" s="1"/>
  <c r="C63" i="5"/>
  <c r="C100" i="5" s="1"/>
  <c r="B63" i="5"/>
  <c r="B100" i="5" s="1"/>
  <c r="H61" i="5"/>
  <c r="H98" i="5" s="1"/>
  <c r="G61" i="5"/>
  <c r="G98" i="5" s="1"/>
  <c r="F61" i="5"/>
  <c r="E61" i="5"/>
  <c r="E98" i="5" s="1"/>
  <c r="C61" i="5"/>
  <c r="C98" i="5" s="1"/>
  <c r="B61" i="5"/>
  <c r="B98" i="5" s="1"/>
  <c r="H60" i="5"/>
  <c r="G60" i="5"/>
  <c r="G97" i="5" s="1"/>
  <c r="F60" i="5"/>
  <c r="F97" i="5" s="1"/>
  <c r="E60" i="5"/>
  <c r="E97" i="5" s="1"/>
  <c r="C60" i="5"/>
  <c r="C97" i="5" s="1"/>
  <c r="B60" i="5"/>
  <c r="B97" i="5" s="1"/>
  <c r="H55" i="5"/>
  <c r="H92" i="5" s="1"/>
  <c r="G55" i="5"/>
  <c r="G92" i="5" s="1"/>
  <c r="F55" i="5"/>
  <c r="F92" i="5" s="1"/>
  <c r="E55" i="5"/>
  <c r="E92" i="5" s="1"/>
  <c r="C55" i="5"/>
  <c r="C92" i="5" s="1"/>
  <c r="B55" i="5"/>
  <c r="B92" i="5" s="1"/>
  <c r="H54" i="5"/>
  <c r="H91" i="5" s="1"/>
  <c r="G54" i="5"/>
  <c r="G91" i="5" s="1"/>
  <c r="F54" i="5"/>
  <c r="F91" i="5" s="1"/>
  <c r="E54" i="5"/>
  <c r="E91" i="5" s="1"/>
  <c r="C54" i="5"/>
  <c r="C91" i="5" s="1"/>
  <c r="B54" i="5"/>
  <c r="B91" i="5" s="1"/>
  <c r="H53" i="5"/>
  <c r="H90" i="5" s="1"/>
  <c r="G53" i="5"/>
  <c r="G90" i="5" s="1"/>
  <c r="F53" i="5"/>
  <c r="F90" i="5" s="1"/>
  <c r="E53" i="5"/>
  <c r="E90" i="5" s="1"/>
  <c r="C53" i="5"/>
  <c r="C90" i="5" s="1"/>
  <c r="B53" i="5"/>
  <c r="B90" i="5" s="1"/>
  <c r="H51" i="5"/>
  <c r="H88" i="5" s="1"/>
  <c r="G51" i="5"/>
  <c r="G88" i="5" s="1"/>
  <c r="F51" i="5"/>
  <c r="F88" i="5" s="1"/>
  <c r="E51" i="5"/>
  <c r="E88" i="5" s="1"/>
  <c r="C51" i="5"/>
  <c r="B51" i="5"/>
  <c r="H50" i="5"/>
  <c r="H87" i="5" s="1"/>
  <c r="G50" i="5"/>
  <c r="G87" i="5" s="1"/>
  <c r="F50" i="5"/>
  <c r="F87" i="5" s="1"/>
  <c r="E50" i="5"/>
  <c r="E87" i="5" s="1"/>
  <c r="C50" i="5"/>
  <c r="C87" i="5" s="1"/>
  <c r="B50" i="5"/>
  <c r="B87" i="5" s="1"/>
  <c r="D76" i="5"/>
  <c r="D75" i="5"/>
  <c r="D112" i="5" s="1"/>
  <c r="D72" i="5"/>
  <c r="F107" i="5"/>
  <c r="D69" i="5"/>
  <c r="D66" i="5"/>
  <c r="D63" i="5"/>
  <c r="D100" i="5" s="1"/>
  <c r="D61" i="5"/>
  <c r="D60" i="5"/>
  <c r="F58" i="5"/>
  <c r="E58" i="5"/>
  <c r="C58" i="5"/>
  <c r="B58" i="5"/>
  <c r="B95" i="5" s="1"/>
  <c r="H57" i="5"/>
  <c r="G57" i="5"/>
  <c r="E57" i="5"/>
  <c r="C57" i="5"/>
  <c r="C94" i="5" s="1"/>
  <c r="D55" i="5"/>
  <c r="D92" i="5" s="1"/>
  <c r="D54" i="5"/>
  <c r="D53" i="5"/>
  <c r="D90" i="5" s="1"/>
  <c r="D51" i="5"/>
  <c r="D50" i="5"/>
  <c r="F47" i="5"/>
  <c r="E47" i="5"/>
  <c r="C47" i="5"/>
  <c r="B47" i="5"/>
  <c r="H46" i="5"/>
  <c r="G46" i="5"/>
  <c r="G83" i="5" s="1"/>
  <c r="E46" i="5"/>
  <c r="E83" i="5" s="1"/>
  <c r="C46" i="5"/>
  <c r="H93" i="11"/>
  <c r="G93" i="11"/>
  <c r="F93" i="11"/>
  <c r="E93" i="11"/>
  <c r="C93" i="11"/>
  <c r="B93" i="11"/>
  <c r="H86" i="11"/>
  <c r="G86" i="11"/>
  <c r="F86" i="11"/>
  <c r="E86" i="11"/>
  <c r="D86" i="11"/>
  <c r="C86" i="11"/>
  <c r="B86" i="11"/>
  <c r="H76" i="11"/>
  <c r="H113" i="11" s="1"/>
  <c r="G76" i="11"/>
  <c r="G113" i="11" s="1"/>
  <c r="F76" i="11"/>
  <c r="E76" i="11"/>
  <c r="E113" i="11" s="1"/>
  <c r="C76" i="11"/>
  <c r="B76" i="11"/>
  <c r="H75" i="11"/>
  <c r="H112" i="11" s="1"/>
  <c r="G75" i="11"/>
  <c r="G112" i="11" s="1"/>
  <c r="F75" i="11"/>
  <c r="E75" i="11"/>
  <c r="E112" i="11" s="1"/>
  <c r="C75" i="11"/>
  <c r="C112" i="11" s="1"/>
  <c r="B75" i="11"/>
  <c r="B112" i="11" s="1"/>
  <c r="H73" i="11"/>
  <c r="G73" i="11"/>
  <c r="F73" i="11"/>
  <c r="F110" i="11" s="1"/>
  <c r="E73" i="11"/>
  <c r="C73" i="11"/>
  <c r="B73" i="11"/>
  <c r="H72" i="11"/>
  <c r="H109" i="11" s="1"/>
  <c r="G72" i="11"/>
  <c r="G109" i="11" s="1"/>
  <c r="F72" i="11"/>
  <c r="F109" i="11" s="1"/>
  <c r="E72" i="11"/>
  <c r="E109" i="11" s="1"/>
  <c r="C72" i="11"/>
  <c r="C109" i="11" s="1"/>
  <c r="B72" i="11"/>
  <c r="B109" i="11" s="1"/>
  <c r="H70" i="11"/>
  <c r="G70" i="11"/>
  <c r="G107" i="11" s="1"/>
  <c r="F70" i="11"/>
  <c r="E70" i="11"/>
  <c r="C70" i="11"/>
  <c r="C107" i="11" s="1"/>
  <c r="B70" i="11"/>
  <c r="B107" i="11" s="1"/>
  <c r="H69" i="11"/>
  <c r="H106" i="11" s="1"/>
  <c r="G69" i="11"/>
  <c r="G106" i="11" s="1"/>
  <c r="F69" i="11"/>
  <c r="F106" i="11" s="1"/>
  <c r="E69" i="11"/>
  <c r="C69" i="11"/>
  <c r="C106" i="11" s="1"/>
  <c r="B69" i="11"/>
  <c r="B106" i="11" s="1"/>
  <c r="H67" i="11"/>
  <c r="H104" i="11" s="1"/>
  <c r="G67" i="11"/>
  <c r="F67" i="11"/>
  <c r="E67" i="11"/>
  <c r="E104" i="11" s="1"/>
  <c r="C67" i="11"/>
  <c r="C104" i="11" s="1"/>
  <c r="B67" i="11"/>
  <c r="H66" i="11"/>
  <c r="H103" i="11" s="1"/>
  <c r="G66" i="11"/>
  <c r="G103" i="11" s="1"/>
  <c r="F66" i="11"/>
  <c r="F103" i="11" s="1"/>
  <c r="E66" i="11"/>
  <c r="E103" i="11" s="1"/>
  <c r="C66" i="11"/>
  <c r="B66" i="11"/>
  <c r="B103" i="11" s="1"/>
  <c r="H64" i="11"/>
  <c r="G64" i="11"/>
  <c r="F64" i="11"/>
  <c r="F101" i="11" s="1"/>
  <c r="E64" i="11"/>
  <c r="E101" i="11" s="1"/>
  <c r="C64" i="11"/>
  <c r="C101" i="11" s="1"/>
  <c r="B64" i="11"/>
  <c r="B101" i="11" s="1"/>
  <c r="H63" i="11"/>
  <c r="H100" i="11" s="1"/>
  <c r="G63" i="11"/>
  <c r="G100" i="11" s="1"/>
  <c r="F63" i="11"/>
  <c r="F100" i="11" s="1"/>
  <c r="E63" i="11"/>
  <c r="E100" i="11" s="1"/>
  <c r="C63" i="11"/>
  <c r="C100" i="11" s="1"/>
  <c r="B63" i="11"/>
  <c r="B100" i="11" s="1"/>
  <c r="H61" i="11"/>
  <c r="H98" i="11" s="1"/>
  <c r="G61" i="11"/>
  <c r="G98" i="11" s="1"/>
  <c r="F61" i="11"/>
  <c r="F98" i="11" s="1"/>
  <c r="E61" i="11"/>
  <c r="E98" i="11" s="1"/>
  <c r="C61" i="11"/>
  <c r="C98" i="11" s="1"/>
  <c r="B61" i="11"/>
  <c r="H60" i="11"/>
  <c r="H97" i="11" s="1"/>
  <c r="G60" i="11"/>
  <c r="G97" i="11" s="1"/>
  <c r="F60" i="11"/>
  <c r="F97" i="11" s="1"/>
  <c r="E60" i="11"/>
  <c r="E97" i="11" s="1"/>
  <c r="C60" i="11"/>
  <c r="C97" i="11" s="1"/>
  <c r="B60" i="11"/>
  <c r="B97" i="11" s="1"/>
  <c r="H55" i="11"/>
  <c r="H92" i="11" s="1"/>
  <c r="G55" i="11"/>
  <c r="G92" i="11" s="1"/>
  <c r="F55" i="11"/>
  <c r="F92" i="11" s="1"/>
  <c r="E55" i="11"/>
  <c r="C55" i="11"/>
  <c r="C92" i="11" s="1"/>
  <c r="B55" i="11"/>
  <c r="B92" i="11" s="1"/>
  <c r="H54" i="11"/>
  <c r="H91" i="11" s="1"/>
  <c r="G54" i="11"/>
  <c r="G91" i="11" s="1"/>
  <c r="F54" i="11"/>
  <c r="F91" i="11" s="1"/>
  <c r="E54" i="11"/>
  <c r="C54" i="11"/>
  <c r="C91" i="11" s="1"/>
  <c r="B54" i="11"/>
  <c r="B91" i="11" s="1"/>
  <c r="H53" i="11"/>
  <c r="H90" i="11" s="1"/>
  <c r="G53" i="11"/>
  <c r="G90" i="11" s="1"/>
  <c r="F53" i="11"/>
  <c r="F90" i="11" s="1"/>
  <c r="E53" i="11"/>
  <c r="E90" i="11" s="1"/>
  <c r="C53" i="11"/>
  <c r="C90" i="11" s="1"/>
  <c r="B53" i="11"/>
  <c r="B90" i="11" s="1"/>
  <c r="H51" i="11"/>
  <c r="G51" i="11"/>
  <c r="F51" i="11"/>
  <c r="F88" i="11" s="1"/>
  <c r="E51" i="11"/>
  <c r="E88" i="11" s="1"/>
  <c r="C51" i="11"/>
  <c r="B51" i="11"/>
  <c r="B88" i="11" s="1"/>
  <c r="H50" i="11"/>
  <c r="H87" i="11" s="1"/>
  <c r="G50" i="11"/>
  <c r="F50" i="11"/>
  <c r="E50" i="11"/>
  <c r="E87" i="11" s="1"/>
  <c r="C50" i="11"/>
  <c r="C87" i="11" s="1"/>
  <c r="B50" i="11"/>
  <c r="D76" i="11"/>
  <c r="D75" i="11"/>
  <c r="F112" i="11"/>
  <c r="D73" i="11"/>
  <c r="D72" i="11"/>
  <c r="D109" i="11" s="1"/>
  <c r="D70" i="11"/>
  <c r="D69" i="11"/>
  <c r="D106" i="11" s="1"/>
  <c r="D67" i="11"/>
  <c r="D66" i="11"/>
  <c r="D64" i="11"/>
  <c r="D63" i="11"/>
  <c r="D61" i="11"/>
  <c r="D98" i="11" s="1"/>
  <c r="D60" i="11"/>
  <c r="H58" i="11"/>
  <c r="H95" i="11" s="1"/>
  <c r="E58" i="11"/>
  <c r="C58" i="11"/>
  <c r="B58" i="11"/>
  <c r="H57" i="11"/>
  <c r="F57" i="11"/>
  <c r="E57" i="11"/>
  <c r="D57" i="11"/>
  <c r="C57" i="11"/>
  <c r="C94" i="11" s="1"/>
  <c r="B57" i="11"/>
  <c r="D93" i="11"/>
  <c r="D55" i="11"/>
  <c r="D54" i="11"/>
  <c r="D53" i="11"/>
  <c r="D51" i="11"/>
  <c r="D50" i="11"/>
  <c r="H47" i="11"/>
  <c r="C47" i="11"/>
  <c r="B47" i="11"/>
  <c r="C46" i="11"/>
  <c r="H93" i="8"/>
  <c r="G93" i="8"/>
  <c r="F93" i="8"/>
  <c r="E93" i="8"/>
  <c r="D93" i="8"/>
  <c r="C93" i="8"/>
  <c r="B93" i="8"/>
  <c r="H86" i="8"/>
  <c r="G86" i="8"/>
  <c r="F86" i="8"/>
  <c r="E86" i="8"/>
  <c r="D86" i="8"/>
  <c r="C86" i="8"/>
  <c r="B86" i="8"/>
  <c r="H76" i="8"/>
  <c r="H113" i="8" s="1"/>
  <c r="G76" i="8"/>
  <c r="G113" i="8" s="1"/>
  <c r="F76" i="8"/>
  <c r="F113" i="8" s="1"/>
  <c r="E76" i="8"/>
  <c r="E113" i="8" s="1"/>
  <c r="C76" i="8"/>
  <c r="B76" i="8"/>
  <c r="H75" i="8"/>
  <c r="G75" i="8"/>
  <c r="F75" i="8"/>
  <c r="F112" i="8" s="1"/>
  <c r="E75" i="8"/>
  <c r="C75" i="8"/>
  <c r="C112" i="8" s="1"/>
  <c r="B75" i="8"/>
  <c r="B112" i="8" s="1"/>
  <c r="H73" i="8"/>
  <c r="H110" i="8" s="1"/>
  <c r="G73" i="8"/>
  <c r="F73" i="8"/>
  <c r="E73" i="8"/>
  <c r="E110" i="8" s="1"/>
  <c r="C73" i="8"/>
  <c r="C110" i="8" s="1"/>
  <c r="B73" i="8"/>
  <c r="B110" i="8" s="1"/>
  <c r="H72" i="8"/>
  <c r="H109" i="8" s="1"/>
  <c r="G72" i="8"/>
  <c r="F72" i="8"/>
  <c r="F109" i="8" s="1"/>
  <c r="E72" i="8"/>
  <c r="C72" i="8"/>
  <c r="B72" i="8"/>
  <c r="B109" i="8" s="1"/>
  <c r="H70" i="8"/>
  <c r="H107" i="8" s="1"/>
  <c r="G70" i="8"/>
  <c r="G107" i="8" s="1"/>
  <c r="F70" i="8"/>
  <c r="F107" i="8" s="1"/>
  <c r="E70" i="8"/>
  <c r="C70" i="8"/>
  <c r="C107" i="8" s="1"/>
  <c r="B70" i="8"/>
  <c r="H69" i="8"/>
  <c r="H106" i="8" s="1"/>
  <c r="G69" i="8"/>
  <c r="G106" i="8" s="1"/>
  <c r="F69" i="8"/>
  <c r="E69" i="8"/>
  <c r="E106" i="8" s="1"/>
  <c r="C69" i="8"/>
  <c r="C106" i="8" s="1"/>
  <c r="B69" i="8"/>
  <c r="B106" i="8" s="1"/>
  <c r="H67" i="8"/>
  <c r="G67" i="8"/>
  <c r="F67" i="8"/>
  <c r="F104" i="8" s="1"/>
  <c r="E67" i="8"/>
  <c r="E104" i="8" s="1"/>
  <c r="C67" i="8"/>
  <c r="B67" i="8"/>
  <c r="H66" i="8"/>
  <c r="H103" i="8" s="1"/>
  <c r="G66" i="8"/>
  <c r="G103" i="8" s="1"/>
  <c r="F66" i="8"/>
  <c r="F103" i="8" s="1"/>
  <c r="E66" i="8"/>
  <c r="E103" i="8" s="1"/>
  <c r="C66" i="8"/>
  <c r="C103" i="8" s="1"/>
  <c r="B66" i="8"/>
  <c r="H64" i="8"/>
  <c r="H101" i="8" s="1"/>
  <c r="G64" i="8"/>
  <c r="F64" i="8"/>
  <c r="E64" i="8"/>
  <c r="E101" i="8" s="1"/>
  <c r="C64" i="8"/>
  <c r="C101" i="8" s="1"/>
  <c r="B64" i="8"/>
  <c r="B101" i="8" s="1"/>
  <c r="H63" i="8"/>
  <c r="H100" i="8" s="1"/>
  <c r="G63" i="8"/>
  <c r="F63" i="8"/>
  <c r="E63" i="8"/>
  <c r="E100" i="8" s="1"/>
  <c r="C63" i="8"/>
  <c r="C100" i="8" s="1"/>
  <c r="B63" i="8"/>
  <c r="B100" i="8" s="1"/>
  <c r="H61" i="8"/>
  <c r="H98" i="8" s="1"/>
  <c r="G61" i="8"/>
  <c r="F61" i="8"/>
  <c r="F98" i="8" s="1"/>
  <c r="E61" i="8"/>
  <c r="C61" i="8"/>
  <c r="C98" i="8" s="1"/>
  <c r="B61" i="8"/>
  <c r="H60" i="8"/>
  <c r="H97" i="8" s="1"/>
  <c r="G60" i="8"/>
  <c r="G97" i="8" s="1"/>
  <c r="F60" i="8"/>
  <c r="F97" i="8" s="1"/>
  <c r="E60" i="8"/>
  <c r="E97" i="8" s="1"/>
  <c r="C60" i="8"/>
  <c r="C97" i="8" s="1"/>
  <c r="B60" i="8"/>
  <c r="H55" i="8"/>
  <c r="H92" i="8" s="1"/>
  <c r="G55" i="8"/>
  <c r="G92" i="8" s="1"/>
  <c r="F55" i="8"/>
  <c r="F92" i="8" s="1"/>
  <c r="E55" i="8"/>
  <c r="E92" i="8" s="1"/>
  <c r="C55" i="8"/>
  <c r="C92" i="8" s="1"/>
  <c r="B55" i="8"/>
  <c r="B92" i="8" s="1"/>
  <c r="H54" i="8"/>
  <c r="H91" i="8" s="1"/>
  <c r="G54" i="8"/>
  <c r="G91" i="8" s="1"/>
  <c r="F54" i="8"/>
  <c r="F91" i="8" s="1"/>
  <c r="E54" i="8"/>
  <c r="E91" i="8" s="1"/>
  <c r="C54" i="8"/>
  <c r="C91" i="8" s="1"/>
  <c r="B54" i="8"/>
  <c r="B91" i="8" s="1"/>
  <c r="H53" i="8"/>
  <c r="H90" i="8" s="1"/>
  <c r="G53" i="8"/>
  <c r="G90" i="8" s="1"/>
  <c r="F53" i="8"/>
  <c r="E53" i="8"/>
  <c r="C53" i="8"/>
  <c r="C90" i="8" s="1"/>
  <c r="B53" i="8"/>
  <c r="B90" i="8" s="1"/>
  <c r="H51" i="8"/>
  <c r="H88" i="8" s="1"/>
  <c r="G51" i="8"/>
  <c r="G88" i="8" s="1"/>
  <c r="F51" i="8"/>
  <c r="F88" i="8" s="1"/>
  <c r="E51" i="8"/>
  <c r="E88" i="8" s="1"/>
  <c r="C51" i="8"/>
  <c r="C88" i="8" s="1"/>
  <c r="B51" i="8"/>
  <c r="H50" i="8"/>
  <c r="G50" i="8"/>
  <c r="G87" i="8" s="1"/>
  <c r="F50" i="8"/>
  <c r="F87" i="8" s="1"/>
  <c r="E50" i="8"/>
  <c r="E87" i="8" s="1"/>
  <c r="C50" i="8"/>
  <c r="C87" i="8" s="1"/>
  <c r="B50" i="8"/>
  <c r="B87" i="8" s="1"/>
  <c r="D76" i="8"/>
  <c r="D75" i="8"/>
  <c r="G112" i="8"/>
  <c r="D73" i="8"/>
  <c r="D72" i="8"/>
  <c r="G109" i="8"/>
  <c r="C109" i="8"/>
  <c r="D70" i="8"/>
  <c r="D69" i="8"/>
  <c r="D67" i="8"/>
  <c r="D66" i="8"/>
  <c r="B103" i="8"/>
  <c r="G100" i="8"/>
  <c r="D61" i="8"/>
  <c r="G98" i="8"/>
  <c r="D60" i="8"/>
  <c r="B97" i="8"/>
  <c r="H58" i="8"/>
  <c r="G58" i="8"/>
  <c r="E58" i="8"/>
  <c r="E95" i="8" s="1"/>
  <c r="C58" i="8"/>
  <c r="B58" i="8"/>
  <c r="G57" i="8"/>
  <c r="G94" i="8" s="1"/>
  <c r="C57" i="8"/>
  <c r="C94" i="8" s="1"/>
  <c r="F57" i="8"/>
  <c r="E57" i="8"/>
  <c r="E94" i="8" s="1"/>
  <c r="D57" i="8"/>
  <c r="B57" i="8"/>
  <c r="D55" i="8"/>
  <c r="D54" i="8"/>
  <c r="D53" i="8"/>
  <c r="F90" i="8"/>
  <c r="D50" i="8"/>
  <c r="C47" i="8"/>
  <c r="B47" i="8"/>
  <c r="G46" i="8"/>
  <c r="F46" i="8"/>
  <c r="E46" i="8"/>
  <c r="E83" i="8" s="1"/>
  <c r="B46" i="8"/>
  <c r="H93" i="13"/>
  <c r="G93" i="13"/>
  <c r="F93" i="13"/>
  <c r="E93" i="13"/>
  <c r="D93" i="13"/>
  <c r="C93" i="13"/>
  <c r="B93" i="13"/>
  <c r="H86" i="13"/>
  <c r="G86" i="13"/>
  <c r="F86" i="13"/>
  <c r="E86" i="13"/>
  <c r="D86" i="13"/>
  <c r="C86" i="13"/>
  <c r="B86" i="13"/>
  <c r="H76" i="13"/>
  <c r="G76" i="13"/>
  <c r="F76" i="13"/>
  <c r="E76" i="13"/>
  <c r="D76" i="13"/>
  <c r="C76" i="13"/>
  <c r="B76" i="13"/>
  <c r="B113" i="13" s="1"/>
  <c r="H75" i="13"/>
  <c r="H112" i="13" s="1"/>
  <c r="G75" i="13"/>
  <c r="G112" i="13" s="1"/>
  <c r="F75" i="13"/>
  <c r="F112" i="13" s="1"/>
  <c r="E75" i="13"/>
  <c r="E112" i="13" s="1"/>
  <c r="C75" i="13"/>
  <c r="C112" i="13" s="1"/>
  <c r="B75" i="13"/>
  <c r="B112" i="13" s="1"/>
  <c r="H73" i="13"/>
  <c r="G73" i="13"/>
  <c r="G110" i="13" s="1"/>
  <c r="F73" i="13"/>
  <c r="F110" i="13" s="1"/>
  <c r="E73" i="13"/>
  <c r="D73" i="13"/>
  <c r="D110" i="13" s="1"/>
  <c r="C73" i="13"/>
  <c r="C110" i="13" s="1"/>
  <c r="B73" i="13"/>
  <c r="B110" i="13" s="1"/>
  <c r="H72" i="13"/>
  <c r="H109" i="13" s="1"/>
  <c r="G72" i="13"/>
  <c r="G109" i="13" s="1"/>
  <c r="F72" i="13"/>
  <c r="F109" i="13" s="1"/>
  <c r="E72" i="13"/>
  <c r="E109" i="13" s="1"/>
  <c r="C72" i="13"/>
  <c r="C109" i="13" s="1"/>
  <c r="B72" i="13"/>
  <c r="B109" i="13" s="1"/>
  <c r="H70" i="13"/>
  <c r="H107" i="13" s="1"/>
  <c r="G70" i="13"/>
  <c r="G107" i="13" s="1"/>
  <c r="F70" i="13"/>
  <c r="E70" i="13"/>
  <c r="D70" i="13"/>
  <c r="D107" i="13" s="1"/>
  <c r="C70" i="13"/>
  <c r="C107" i="13" s="1"/>
  <c r="B70" i="13"/>
  <c r="H69" i="13"/>
  <c r="H106" i="13" s="1"/>
  <c r="G69" i="13"/>
  <c r="G106" i="13" s="1"/>
  <c r="F69" i="13"/>
  <c r="E69" i="13"/>
  <c r="E106" i="13" s="1"/>
  <c r="C69" i="13"/>
  <c r="C106" i="13" s="1"/>
  <c r="B69" i="13"/>
  <c r="B106" i="13" s="1"/>
  <c r="H67" i="13"/>
  <c r="G67" i="13"/>
  <c r="F67" i="13"/>
  <c r="F104" i="13" s="1"/>
  <c r="E67" i="13"/>
  <c r="E104" i="13" s="1"/>
  <c r="D67" i="13"/>
  <c r="D104" i="13" s="1"/>
  <c r="C67" i="13"/>
  <c r="B67" i="13"/>
  <c r="H66" i="13"/>
  <c r="H103" i="13" s="1"/>
  <c r="G66" i="13"/>
  <c r="G103" i="13" s="1"/>
  <c r="F66" i="13"/>
  <c r="F103" i="13" s="1"/>
  <c r="E66" i="13"/>
  <c r="E103" i="13" s="1"/>
  <c r="C66" i="13"/>
  <c r="C103" i="13" s="1"/>
  <c r="B66" i="13"/>
  <c r="B103" i="13" s="1"/>
  <c r="H64" i="13"/>
  <c r="G64" i="13"/>
  <c r="F64" i="13"/>
  <c r="F101" i="13" s="1"/>
  <c r="E64" i="13"/>
  <c r="E101" i="13" s="1"/>
  <c r="D64" i="13"/>
  <c r="C64" i="13"/>
  <c r="C101" i="13" s="1"/>
  <c r="B64" i="13"/>
  <c r="B101" i="13" s="1"/>
  <c r="H63" i="13"/>
  <c r="G63" i="13"/>
  <c r="G100" i="13" s="1"/>
  <c r="F63" i="13"/>
  <c r="F100" i="13" s="1"/>
  <c r="E63" i="13"/>
  <c r="E100" i="13" s="1"/>
  <c r="C63" i="13"/>
  <c r="C100" i="13" s="1"/>
  <c r="B63" i="13"/>
  <c r="B100" i="13" s="1"/>
  <c r="H61" i="13"/>
  <c r="G61" i="13"/>
  <c r="G98" i="13" s="1"/>
  <c r="F61" i="13"/>
  <c r="F98" i="13" s="1"/>
  <c r="E61" i="13"/>
  <c r="E98" i="13" s="1"/>
  <c r="D61" i="13"/>
  <c r="D98" i="13" s="1"/>
  <c r="C61" i="13"/>
  <c r="C98" i="13" s="1"/>
  <c r="B61" i="13"/>
  <c r="B98" i="13" s="1"/>
  <c r="H60" i="13"/>
  <c r="G60" i="13"/>
  <c r="G97" i="13" s="1"/>
  <c r="F60" i="13"/>
  <c r="F97" i="13" s="1"/>
  <c r="E60" i="13"/>
  <c r="C60" i="13"/>
  <c r="C97" i="13" s="1"/>
  <c r="B60" i="13"/>
  <c r="B97" i="13" s="1"/>
  <c r="H55" i="13"/>
  <c r="H92" i="13" s="1"/>
  <c r="G55" i="13"/>
  <c r="G92" i="13" s="1"/>
  <c r="F55" i="13"/>
  <c r="F92" i="13" s="1"/>
  <c r="E55" i="13"/>
  <c r="E92" i="13" s="1"/>
  <c r="D55" i="13"/>
  <c r="D92" i="13" s="1"/>
  <c r="C55" i="13"/>
  <c r="C92" i="13" s="1"/>
  <c r="B55" i="13"/>
  <c r="B92" i="13" s="1"/>
  <c r="H54" i="13"/>
  <c r="H91" i="13" s="1"/>
  <c r="G54" i="13"/>
  <c r="G91" i="13" s="1"/>
  <c r="F54" i="13"/>
  <c r="F91" i="13" s="1"/>
  <c r="E54" i="13"/>
  <c r="E91" i="13" s="1"/>
  <c r="D54" i="13"/>
  <c r="D91" i="13" s="1"/>
  <c r="C54" i="13"/>
  <c r="C91" i="13" s="1"/>
  <c r="B54" i="13"/>
  <c r="B91" i="13" s="1"/>
  <c r="H53" i="13"/>
  <c r="H90" i="13" s="1"/>
  <c r="G53" i="13"/>
  <c r="G90" i="13" s="1"/>
  <c r="F53" i="13"/>
  <c r="F90" i="13" s="1"/>
  <c r="E53" i="13"/>
  <c r="E90" i="13" s="1"/>
  <c r="D53" i="13"/>
  <c r="D90" i="13" s="1"/>
  <c r="C53" i="13"/>
  <c r="C90" i="13" s="1"/>
  <c r="B53" i="13"/>
  <c r="B90" i="13" s="1"/>
  <c r="H50" i="13"/>
  <c r="H87" i="13" s="1"/>
  <c r="G50" i="13"/>
  <c r="G87" i="13" s="1"/>
  <c r="F50" i="13"/>
  <c r="F87" i="13" s="1"/>
  <c r="E50" i="13"/>
  <c r="E87" i="13" s="1"/>
  <c r="C50" i="13"/>
  <c r="C87" i="13" s="1"/>
  <c r="B50" i="13"/>
  <c r="B87" i="13" s="1"/>
  <c r="G113" i="13"/>
  <c r="F113" i="13"/>
  <c r="E113" i="13"/>
  <c r="D75" i="13"/>
  <c r="D77" i="13" s="1"/>
  <c r="D69" i="13"/>
  <c r="D66" i="13"/>
  <c r="D63" i="13"/>
  <c r="D60" i="13"/>
  <c r="H58" i="13"/>
  <c r="H95" i="13" s="1"/>
  <c r="G58" i="13"/>
  <c r="E58" i="13"/>
  <c r="D58" i="13"/>
  <c r="D95" i="13" s="1"/>
  <c r="C58" i="13"/>
  <c r="C95" i="13" s="1"/>
  <c r="B58" i="13"/>
  <c r="H57" i="13"/>
  <c r="G57" i="13"/>
  <c r="G94" i="13" s="1"/>
  <c r="F57" i="13"/>
  <c r="F94" i="13" s="1"/>
  <c r="D57" i="13"/>
  <c r="C57" i="13"/>
  <c r="C94" i="13" s="1"/>
  <c r="B57" i="13"/>
  <c r="B94" i="13" s="1"/>
  <c r="G51" i="13"/>
  <c r="E51" i="13"/>
  <c r="D51" i="13"/>
  <c r="D50" i="13"/>
  <c r="E47" i="13"/>
  <c r="D47" i="13"/>
  <c r="C47" i="13"/>
  <c r="H46" i="13"/>
  <c r="F46" i="13"/>
  <c r="F83" i="13" s="1"/>
  <c r="C46" i="13"/>
  <c r="H93" i="28"/>
  <c r="G93" i="28"/>
  <c r="F93" i="28"/>
  <c r="E93" i="28"/>
  <c r="D93" i="28"/>
  <c r="C93" i="28"/>
  <c r="B93" i="28"/>
  <c r="H86" i="28"/>
  <c r="G86" i="28"/>
  <c r="F86" i="28"/>
  <c r="E86" i="28"/>
  <c r="D86" i="28"/>
  <c r="C86" i="28"/>
  <c r="B86" i="28"/>
  <c r="H76" i="28"/>
  <c r="G76" i="28"/>
  <c r="G113" i="28" s="1"/>
  <c r="F76" i="28"/>
  <c r="F113" i="28" s="1"/>
  <c r="E76" i="28"/>
  <c r="E113" i="28" s="1"/>
  <c r="C76" i="28"/>
  <c r="B76" i="28"/>
  <c r="B113" i="28" s="1"/>
  <c r="H75" i="28"/>
  <c r="G75" i="28"/>
  <c r="G112" i="28" s="1"/>
  <c r="F75" i="28"/>
  <c r="F112" i="28" s="1"/>
  <c r="E75" i="28"/>
  <c r="E112" i="28" s="1"/>
  <c r="C75" i="28"/>
  <c r="C112" i="28" s="1"/>
  <c r="B75" i="28"/>
  <c r="B112" i="28" s="1"/>
  <c r="H73" i="28"/>
  <c r="G73" i="28"/>
  <c r="G110" i="28" s="1"/>
  <c r="F73" i="28"/>
  <c r="F110" i="28" s="1"/>
  <c r="E73" i="28"/>
  <c r="C73" i="28"/>
  <c r="C110" i="28" s="1"/>
  <c r="B73" i="28"/>
  <c r="B110" i="28" s="1"/>
  <c r="H72" i="28"/>
  <c r="H109" i="28" s="1"/>
  <c r="G72" i="28"/>
  <c r="F72" i="28"/>
  <c r="F109" i="28" s="1"/>
  <c r="E72" i="28"/>
  <c r="C72" i="28"/>
  <c r="C109" i="28" s="1"/>
  <c r="B72" i="28"/>
  <c r="B109" i="28" s="1"/>
  <c r="H70" i="28"/>
  <c r="H107" i="28" s="1"/>
  <c r="G70" i="28"/>
  <c r="G107" i="28" s="1"/>
  <c r="F70" i="28"/>
  <c r="E70" i="28"/>
  <c r="C70" i="28"/>
  <c r="B70" i="28"/>
  <c r="H69" i="28"/>
  <c r="H106" i="28" s="1"/>
  <c r="G69" i="28"/>
  <c r="G106" i="28" s="1"/>
  <c r="F69" i="28"/>
  <c r="F106" i="28" s="1"/>
  <c r="E69" i="28"/>
  <c r="E106" i="28" s="1"/>
  <c r="C69" i="28"/>
  <c r="C106" i="28" s="1"/>
  <c r="B69" i="28"/>
  <c r="H67" i="28"/>
  <c r="H104" i="28" s="1"/>
  <c r="G67" i="28"/>
  <c r="F67" i="28"/>
  <c r="F104" i="28" s="1"/>
  <c r="E67" i="28"/>
  <c r="E104" i="28" s="1"/>
  <c r="C67" i="28"/>
  <c r="C104" i="28" s="1"/>
  <c r="B67" i="28"/>
  <c r="B104" i="28" s="1"/>
  <c r="H66" i="28"/>
  <c r="H103" i="28" s="1"/>
  <c r="G66" i="28"/>
  <c r="G103" i="28" s="1"/>
  <c r="F66" i="28"/>
  <c r="F103" i="28" s="1"/>
  <c r="E66" i="28"/>
  <c r="E103" i="28" s="1"/>
  <c r="C66" i="28"/>
  <c r="B66" i="28"/>
  <c r="B103" i="28" s="1"/>
  <c r="H64" i="28"/>
  <c r="G64" i="28"/>
  <c r="F64" i="28"/>
  <c r="F101" i="28" s="1"/>
  <c r="E64" i="28"/>
  <c r="E101" i="28" s="1"/>
  <c r="C64" i="28"/>
  <c r="B64" i="28"/>
  <c r="B101" i="28" s="1"/>
  <c r="H63" i="28"/>
  <c r="H100" i="28" s="1"/>
  <c r="G63" i="28"/>
  <c r="G100" i="28" s="1"/>
  <c r="F63" i="28"/>
  <c r="F100" i="28" s="1"/>
  <c r="E63" i="28"/>
  <c r="E100" i="28" s="1"/>
  <c r="C63" i="28"/>
  <c r="C100" i="28" s="1"/>
  <c r="B63" i="28"/>
  <c r="B100" i="28" s="1"/>
  <c r="H61" i="28"/>
  <c r="G61" i="28"/>
  <c r="G98" i="28" s="1"/>
  <c r="F61" i="28"/>
  <c r="F98" i="28" s="1"/>
  <c r="E61" i="28"/>
  <c r="E98" i="28" s="1"/>
  <c r="C61" i="28"/>
  <c r="C98" i="28" s="1"/>
  <c r="B61" i="28"/>
  <c r="B98" i="28" s="1"/>
  <c r="H60" i="28"/>
  <c r="H97" i="28" s="1"/>
  <c r="G60" i="28"/>
  <c r="G97" i="28" s="1"/>
  <c r="F60" i="28"/>
  <c r="F97" i="28" s="1"/>
  <c r="E60" i="28"/>
  <c r="E97" i="28" s="1"/>
  <c r="C60" i="28"/>
  <c r="B60" i="28"/>
  <c r="B97" i="28" s="1"/>
  <c r="H55" i="28"/>
  <c r="H92" i="28" s="1"/>
  <c r="G55" i="28"/>
  <c r="G92" i="28" s="1"/>
  <c r="F55" i="28"/>
  <c r="F92" i="28" s="1"/>
  <c r="E55" i="28"/>
  <c r="E92" i="28" s="1"/>
  <c r="C55" i="28"/>
  <c r="C92" i="28" s="1"/>
  <c r="B55" i="28"/>
  <c r="B92" i="28" s="1"/>
  <c r="H54" i="28"/>
  <c r="H91" i="28" s="1"/>
  <c r="G54" i="28"/>
  <c r="G91" i="28" s="1"/>
  <c r="F54" i="28"/>
  <c r="F91" i="28" s="1"/>
  <c r="E54" i="28"/>
  <c r="E91" i="28" s="1"/>
  <c r="C54" i="28"/>
  <c r="C91" i="28" s="1"/>
  <c r="B54" i="28"/>
  <c r="B91" i="28" s="1"/>
  <c r="H53" i="28"/>
  <c r="H90" i="28" s="1"/>
  <c r="G53" i="28"/>
  <c r="G90" i="28" s="1"/>
  <c r="F53" i="28"/>
  <c r="F90" i="28" s="1"/>
  <c r="E53" i="28"/>
  <c r="E90" i="28" s="1"/>
  <c r="C53" i="28"/>
  <c r="C90" i="28" s="1"/>
  <c r="B53" i="28"/>
  <c r="B90" i="28" s="1"/>
  <c r="H51" i="28"/>
  <c r="H88" i="28" s="1"/>
  <c r="G51" i="28"/>
  <c r="G88" i="28" s="1"/>
  <c r="F51" i="28"/>
  <c r="F88" i="28" s="1"/>
  <c r="E51" i="28"/>
  <c r="E88" i="28" s="1"/>
  <c r="C51" i="28"/>
  <c r="C88" i="28" s="1"/>
  <c r="B51" i="28"/>
  <c r="B88" i="28" s="1"/>
  <c r="H50" i="28"/>
  <c r="H87" i="28" s="1"/>
  <c r="G50" i="28"/>
  <c r="G87" i="28" s="1"/>
  <c r="F50" i="28"/>
  <c r="E50" i="28"/>
  <c r="E87" i="28" s="1"/>
  <c r="C50" i="28"/>
  <c r="B50" i="28"/>
  <c r="B87" i="28" s="1"/>
  <c r="D76" i="28"/>
  <c r="D73" i="28"/>
  <c r="D72" i="28"/>
  <c r="D109" i="28" s="1"/>
  <c r="D70" i="28"/>
  <c r="D66" i="28"/>
  <c r="D64" i="28"/>
  <c r="D60" i="28"/>
  <c r="E58" i="28"/>
  <c r="E95" i="28" s="1"/>
  <c r="B58" i="28"/>
  <c r="H57" i="28"/>
  <c r="H94" i="28" s="1"/>
  <c r="C57" i="28"/>
  <c r="D55" i="28"/>
  <c r="D92" i="28" s="1"/>
  <c r="D53" i="28"/>
  <c r="D51" i="28"/>
  <c r="D88" i="28" s="1"/>
  <c r="D50" i="28"/>
  <c r="H93" i="14"/>
  <c r="G93" i="14"/>
  <c r="F93" i="14"/>
  <c r="E93" i="14"/>
  <c r="D93" i="14"/>
  <c r="C93" i="14"/>
  <c r="B93" i="14"/>
  <c r="H86" i="14"/>
  <c r="G86" i="14"/>
  <c r="F86" i="14"/>
  <c r="E86" i="14"/>
  <c r="D86" i="14"/>
  <c r="C86" i="14"/>
  <c r="B86" i="14"/>
  <c r="H76" i="14"/>
  <c r="H113" i="14" s="1"/>
  <c r="G76" i="14"/>
  <c r="G113" i="14" s="1"/>
  <c r="F76" i="14"/>
  <c r="F113" i="14" s="1"/>
  <c r="E76" i="14"/>
  <c r="E113" i="14" s="1"/>
  <c r="D76" i="14"/>
  <c r="D113" i="14" s="1"/>
  <c r="C76" i="14"/>
  <c r="C113" i="14" s="1"/>
  <c r="B76" i="14"/>
  <c r="B113" i="14" s="1"/>
  <c r="H75" i="14"/>
  <c r="G75" i="14"/>
  <c r="G112" i="14" s="1"/>
  <c r="F75" i="14"/>
  <c r="F112" i="14" s="1"/>
  <c r="E75" i="14"/>
  <c r="E112" i="14" s="1"/>
  <c r="D75" i="14"/>
  <c r="D112" i="14" s="1"/>
  <c r="C75" i="14"/>
  <c r="C112" i="14" s="1"/>
  <c r="B75" i="14"/>
  <c r="B112" i="14" s="1"/>
  <c r="H73" i="14"/>
  <c r="H110" i="14" s="1"/>
  <c r="G73" i="14"/>
  <c r="G110" i="14" s="1"/>
  <c r="F73" i="14"/>
  <c r="F110" i="14" s="1"/>
  <c r="E73" i="14"/>
  <c r="E110" i="14" s="1"/>
  <c r="D73" i="14"/>
  <c r="D110" i="14" s="1"/>
  <c r="C73" i="14"/>
  <c r="C110" i="14" s="1"/>
  <c r="B73" i="14"/>
  <c r="B110" i="14" s="1"/>
  <c r="H72" i="14"/>
  <c r="H109" i="14" s="1"/>
  <c r="G72" i="14"/>
  <c r="G109" i="14" s="1"/>
  <c r="F72" i="14"/>
  <c r="F109" i="14" s="1"/>
  <c r="E72" i="14"/>
  <c r="D72" i="14"/>
  <c r="D109" i="14" s="1"/>
  <c r="C72" i="14"/>
  <c r="C109" i="14" s="1"/>
  <c r="B72" i="14"/>
  <c r="B109" i="14" s="1"/>
  <c r="H70" i="14"/>
  <c r="H107" i="14" s="1"/>
  <c r="G70" i="14"/>
  <c r="G107" i="14" s="1"/>
  <c r="F70" i="14"/>
  <c r="F107" i="14" s="1"/>
  <c r="E70" i="14"/>
  <c r="E107" i="14" s="1"/>
  <c r="D70" i="14"/>
  <c r="D107" i="14" s="1"/>
  <c r="C70" i="14"/>
  <c r="C107" i="14" s="1"/>
  <c r="B70" i="14"/>
  <c r="B107" i="14" s="1"/>
  <c r="H69" i="14"/>
  <c r="H106" i="14" s="1"/>
  <c r="G69" i="14"/>
  <c r="G106" i="14" s="1"/>
  <c r="F69" i="14"/>
  <c r="F106" i="14" s="1"/>
  <c r="E69" i="14"/>
  <c r="E106" i="14" s="1"/>
  <c r="D69" i="14"/>
  <c r="D106" i="14" s="1"/>
  <c r="C69" i="14"/>
  <c r="C106" i="14" s="1"/>
  <c r="B69" i="14"/>
  <c r="H67" i="14"/>
  <c r="H104" i="14" s="1"/>
  <c r="G67" i="14"/>
  <c r="G104" i="14" s="1"/>
  <c r="F67" i="14"/>
  <c r="F104" i="14" s="1"/>
  <c r="E67" i="14"/>
  <c r="E104" i="14" s="1"/>
  <c r="D67" i="14"/>
  <c r="D104" i="14" s="1"/>
  <c r="C67" i="14"/>
  <c r="C104" i="14" s="1"/>
  <c r="B67" i="14"/>
  <c r="B104" i="14" s="1"/>
  <c r="H66" i="14"/>
  <c r="H103" i="14" s="1"/>
  <c r="G66" i="14"/>
  <c r="F66" i="14"/>
  <c r="F103" i="14" s="1"/>
  <c r="E66" i="14"/>
  <c r="E103" i="14" s="1"/>
  <c r="D66" i="14"/>
  <c r="D103" i="14" s="1"/>
  <c r="C66" i="14"/>
  <c r="C103" i="14" s="1"/>
  <c r="B66" i="14"/>
  <c r="B103" i="14" s="1"/>
  <c r="H64" i="14"/>
  <c r="H101" i="14" s="1"/>
  <c r="G64" i="14"/>
  <c r="G101" i="14" s="1"/>
  <c r="F64" i="14"/>
  <c r="F101" i="14" s="1"/>
  <c r="E64" i="14"/>
  <c r="E101" i="14" s="1"/>
  <c r="D64" i="14"/>
  <c r="D101" i="14" s="1"/>
  <c r="C64" i="14"/>
  <c r="C101" i="14" s="1"/>
  <c r="B64" i="14"/>
  <c r="B101" i="14" s="1"/>
  <c r="H63" i="14"/>
  <c r="H100" i="14" s="1"/>
  <c r="G63" i="14"/>
  <c r="G100" i="14" s="1"/>
  <c r="F63" i="14"/>
  <c r="F100" i="14" s="1"/>
  <c r="E63" i="14"/>
  <c r="E100" i="14" s="1"/>
  <c r="D63" i="14"/>
  <c r="C63" i="14"/>
  <c r="C100" i="14" s="1"/>
  <c r="B63" i="14"/>
  <c r="B100" i="14" s="1"/>
  <c r="H61" i="14"/>
  <c r="H98" i="14" s="1"/>
  <c r="G61" i="14"/>
  <c r="G98" i="14" s="1"/>
  <c r="F61" i="14"/>
  <c r="F98" i="14" s="1"/>
  <c r="E61" i="14"/>
  <c r="E98" i="14" s="1"/>
  <c r="D61" i="14"/>
  <c r="D98" i="14" s="1"/>
  <c r="C61" i="14"/>
  <c r="C98" i="14" s="1"/>
  <c r="B61" i="14"/>
  <c r="B98" i="14" s="1"/>
  <c r="H60" i="14"/>
  <c r="H97" i="14" s="1"/>
  <c r="G60" i="14"/>
  <c r="G97" i="14" s="1"/>
  <c r="F60" i="14"/>
  <c r="F97" i="14" s="1"/>
  <c r="E60" i="14"/>
  <c r="E97" i="14" s="1"/>
  <c r="D60" i="14"/>
  <c r="D97" i="14" s="1"/>
  <c r="C60" i="14"/>
  <c r="C97" i="14" s="1"/>
  <c r="B60" i="14"/>
  <c r="B97" i="14" s="1"/>
  <c r="H58" i="14"/>
  <c r="H95" i="14" s="1"/>
  <c r="G58" i="14"/>
  <c r="G95" i="14" s="1"/>
  <c r="F58" i="14"/>
  <c r="F95" i="14" s="1"/>
  <c r="E58" i="14"/>
  <c r="E95" i="14" s="1"/>
  <c r="D58" i="14"/>
  <c r="D95" i="14" s="1"/>
  <c r="C58" i="14"/>
  <c r="C95" i="14" s="1"/>
  <c r="B58" i="14"/>
  <c r="B95" i="14" s="1"/>
  <c r="H57" i="14"/>
  <c r="H94" i="14" s="1"/>
  <c r="G57" i="14"/>
  <c r="G94" i="14" s="1"/>
  <c r="F57" i="14"/>
  <c r="E57" i="14"/>
  <c r="E94" i="14" s="1"/>
  <c r="D57" i="14"/>
  <c r="D94" i="14" s="1"/>
  <c r="C57" i="14"/>
  <c r="C94" i="14" s="1"/>
  <c r="B57" i="14"/>
  <c r="B94" i="14" s="1"/>
  <c r="H55" i="14"/>
  <c r="H92" i="14" s="1"/>
  <c r="G55" i="14"/>
  <c r="G92" i="14" s="1"/>
  <c r="F55" i="14"/>
  <c r="F92" i="14" s="1"/>
  <c r="E55" i="14"/>
  <c r="E92" i="14" s="1"/>
  <c r="D55" i="14"/>
  <c r="D92" i="14" s="1"/>
  <c r="C55" i="14"/>
  <c r="C92" i="14" s="1"/>
  <c r="B55" i="14"/>
  <c r="B92" i="14" s="1"/>
  <c r="H54" i="14"/>
  <c r="H91" i="14" s="1"/>
  <c r="G54" i="14"/>
  <c r="G91" i="14" s="1"/>
  <c r="F54" i="14"/>
  <c r="F91" i="14" s="1"/>
  <c r="E54" i="14"/>
  <c r="E91" i="14" s="1"/>
  <c r="D54" i="14"/>
  <c r="D91" i="14" s="1"/>
  <c r="C54" i="14"/>
  <c r="C91" i="14" s="1"/>
  <c r="B54" i="14"/>
  <c r="B91" i="14" s="1"/>
  <c r="H53" i="14"/>
  <c r="H90" i="14" s="1"/>
  <c r="G53" i="14"/>
  <c r="G90" i="14" s="1"/>
  <c r="F53" i="14"/>
  <c r="F90" i="14" s="1"/>
  <c r="E53" i="14"/>
  <c r="E90" i="14" s="1"/>
  <c r="D53" i="14"/>
  <c r="D90" i="14" s="1"/>
  <c r="C53" i="14"/>
  <c r="C90" i="14" s="1"/>
  <c r="B53" i="14"/>
  <c r="B90" i="14" s="1"/>
  <c r="H51" i="14"/>
  <c r="H88" i="14" s="1"/>
  <c r="G51" i="14"/>
  <c r="F51" i="14"/>
  <c r="F88" i="14" s="1"/>
  <c r="E51" i="14"/>
  <c r="E88" i="14" s="1"/>
  <c r="D51" i="14"/>
  <c r="D88" i="14" s="1"/>
  <c r="C51" i="14"/>
  <c r="C88" i="14" s="1"/>
  <c r="B51" i="14"/>
  <c r="B88" i="14" s="1"/>
  <c r="H50" i="14"/>
  <c r="G50" i="14"/>
  <c r="G87" i="14" s="1"/>
  <c r="F50" i="14"/>
  <c r="F87" i="14" s="1"/>
  <c r="E50" i="14"/>
  <c r="E87" i="14" s="1"/>
  <c r="D50" i="14"/>
  <c r="D87" i="14" s="1"/>
  <c r="C50" i="14"/>
  <c r="C87" i="14" s="1"/>
  <c r="B50" i="14"/>
  <c r="B87" i="14" s="1"/>
  <c r="H47" i="14"/>
  <c r="G47" i="14"/>
  <c r="G84" i="14" s="1"/>
  <c r="F47" i="14"/>
  <c r="F84" i="14" s="1"/>
  <c r="E47" i="14"/>
  <c r="E84" i="14" s="1"/>
  <c r="D47" i="14"/>
  <c r="C47" i="14"/>
  <c r="C84" i="14" s="1"/>
  <c r="B47" i="14"/>
  <c r="B84" i="14" s="1"/>
  <c r="H46" i="14"/>
  <c r="H83" i="14" s="1"/>
  <c r="G46" i="14"/>
  <c r="G83" i="14" s="1"/>
  <c r="F46" i="14"/>
  <c r="F83" i="14" s="1"/>
  <c r="E46" i="14"/>
  <c r="D46" i="14"/>
  <c r="D83" i="14" s="1"/>
  <c r="C46" i="14"/>
  <c r="B46" i="14"/>
  <c r="B83" i="14" s="1"/>
  <c r="H93" i="20"/>
  <c r="G93" i="20"/>
  <c r="F93" i="20"/>
  <c r="E93" i="20"/>
  <c r="D93" i="20"/>
  <c r="C93" i="20"/>
  <c r="B93" i="20"/>
  <c r="H86" i="20"/>
  <c r="G86" i="20"/>
  <c r="F86" i="20"/>
  <c r="E86" i="20"/>
  <c r="D86" i="20"/>
  <c r="C86" i="20"/>
  <c r="B86" i="20"/>
  <c r="H76" i="20"/>
  <c r="G76" i="20"/>
  <c r="G113" i="20" s="1"/>
  <c r="F76" i="20"/>
  <c r="F113" i="20" s="1"/>
  <c r="E76" i="20"/>
  <c r="E113" i="20" s="1"/>
  <c r="C76" i="20"/>
  <c r="B76" i="20"/>
  <c r="B113" i="20" s="1"/>
  <c r="H75" i="20"/>
  <c r="H112" i="20" s="1"/>
  <c r="G75" i="20"/>
  <c r="G112" i="20" s="1"/>
  <c r="F75" i="20"/>
  <c r="F112" i="20" s="1"/>
  <c r="E75" i="20"/>
  <c r="E112" i="20" s="1"/>
  <c r="C75" i="20"/>
  <c r="C112" i="20" s="1"/>
  <c r="B75" i="20"/>
  <c r="B112" i="20" s="1"/>
  <c r="H73" i="20"/>
  <c r="H110" i="20" s="1"/>
  <c r="G73" i="20"/>
  <c r="G110" i="20" s="1"/>
  <c r="F73" i="20"/>
  <c r="F110" i="20" s="1"/>
  <c r="E73" i="20"/>
  <c r="C73" i="20"/>
  <c r="C110" i="20" s="1"/>
  <c r="B73" i="20"/>
  <c r="H72" i="20"/>
  <c r="H109" i="20" s="1"/>
  <c r="G72" i="20"/>
  <c r="F72" i="20"/>
  <c r="F109" i="20" s="1"/>
  <c r="E72" i="20"/>
  <c r="E109" i="20" s="1"/>
  <c r="C72" i="20"/>
  <c r="C109" i="20" s="1"/>
  <c r="B72" i="20"/>
  <c r="B109" i="20" s="1"/>
  <c r="H70" i="20"/>
  <c r="H107" i="20" s="1"/>
  <c r="G70" i="20"/>
  <c r="G107" i="20" s="1"/>
  <c r="F70" i="20"/>
  <c r="E70" i="20"/>
  <c r="C70" i="20"/>
  <c r="B70" i="20"/>
  <c r="H69" i="20"/>
  <c r="H106" i="20" s="1"/>
  <c r="G69" i="20"/>
  <c r="G106" i="20" s="1"/>
  <c r="F69" i="20"/>
  <c r="E69" i="20"/>
  <c r="C69" i="20"/>
  <c r="C106" i="20" s="1"/>
  <c r="B69" i="20"/>
  <c r="B106" i="20" s="1"/>
  <c r="H67" i="20"/>
  <c r="G67" i="20"/>
  <c r="F67" i="20"/>
  <c r="F104" i="20" s="1"/>
  <c r="E67" i="20"/>
  <c r="E104" i="20" s="1"/>
  <c r="C67" i="20"/>
  <c r="C104" i="20" s="1"/>
  <c r="B67" i="20"/>
  <c r="B104" i="20" s="1"/>
  <c r="H66" i="20"/>
  <c r="H103" i="20" s="1"/>
  <c r="G66" i="20"/>
  <c r="G103" i="20" s="1"/>
  <c r="F66" i="20"/>
  <c r="E66" i="20"/>
  <c r="E103" i="20" s="1"/>
  <c r="C66" i="20"/>
  <c r="B66" i="20"/>
  <c r="B103" i="20" s="1"/>
  <c r="H64" i="20"/>
  <c r="G64" i="20"/>
  <c r="F64" i="20"/>
  <c r="F101" i="20" s="1"/>
  <c r="E64" i="20"/>
  <c r="C64" i="20"/>
  <c r="B64" i="20"/>
  <c r="B101" i="20" s="1"/>
  <c r="H63" i="20"/>
  <c r="H100" i="20" s="1"/>
  <c r="G63" i="20"/>
  <c r="G100" i="20" s="1"/>
  <c r="F63" i="20"/>
  <c r="F100" i="20" s="1"/>
  <c r="E63" i="20"/>
  <c r="E100" i="20" s="1"/>
  <c r="C63" i="20"/>
  <c r="C100" i="20" s="1"/>
  <c r="B63" i="20"/>
  <c r="B100" i="20" s="1"/>
  <c r="H61" i="20"/>
  <c r="G61" i="20"/>
  <c r="G98" i="20" s="1"/>
  <c r="F61" i="20"/>
  <c r="F98" i="20" s="1"/>
  <c r="E61" i="20"/>
  <c r="C61" i="20"/>
  <c r="C98" i="20" s="1"/>
  <c r="B61" i="20"/>
  <c r="H60" i="20"/>
  <c r="G60" i="20"/>
  <c r="G97" i="20" s="1"/>
  <c r="F60" i="20"/>
  <c r="E60" i="20"/>
  <c r="C60" i="20"/>
  <c r="B60" i="20"/>
  <c r="B97" i="20" s="1"/>
  <c r="H55" i="20"/>
  <c r="H92" i="20" s="1"/>
  <c r="G55" i="20"/>
  <c r="G92" i="20" s="1"/>
  <c r="F55" i="20"/>
  <c r="F92" i="20" s="1"/>
  <c r="E55" i="20"/>
  <c r="E92" i="20" s="1"/>
  <c r="C55" i="20"/>
  <c r="B55" i="20"/>
  <c r="B92" i="20" s="1"/>
  <c r="H54" i="20"/>
  <c r="H91" i="20" s="1"/>
  <c r="G54" i="20"/>
  <c r="G91" i="20" s="1"/>
  <c r="F54" i="20"/>
  <c r="F91" i="20" s="1"/>
  <c r="E54" i="20"/>
  <c r="E91" i="20" s="1"/>
  <c r="C54" i="20"/>
  <c r="C91" i="20" s="1"/>
  <c r="B54" i="20"/>
  <c r="B91" i="20" s="1"/>
  <c r="H53" i="20"/>
  <c r="G53" i="20"/>
  <c r="G90" i="20" s="1"/>
  <c r="F53" i="20"/>
  <c r="F90" i="20" s="1"/>
  <c r="E53" i="20"/>
  <c r="E90" i="20" s="1"/>
  <c r="C53" i="20"/>
  <c r="C90" i="20" s="1"/>
  <c r="B53" i="20"/>
  <c r="B90" i="20" s="1"/>
  <c r="H51" i="20"/>
  <c r="G51" i="20"/>
  <c r="F51" i="20"/>
  <c r="E51" i="20"/>
  <c r="E88" i="20" s="1"/>
  <c r="C51" i="20"/>
  <c r="C88" i="20" s="1"/>
  <c r="B51" i="20"/>
  <c r="H50" i="20"/>
  <c r="G50" i="20"/>
  <c r="G87" i="20" s="1"/>
  <c r="F50" i="20"/>
  <c r="E50" i="20"/>
  <c r="E87" i="20" s="1"/>
  <c r="C50" i="20"/>
  <c r="B50" i="20"/>
  <c r="B87" i="20" s="1"/>
  <c r="D76" i="20"/>
  <c r="D75" i="20"/>
  <c r="D73" i="20"/>
  <c r="D72" i="20"/>
  <c r="D109" i="20" s="1"/>
  <c r="D70" i="20"/>
  <c r="C107" i="20"/>
  <c r="D69" i="20"/>
  <c r="D106" i="20" s="1"/>
  <c r="D67" i="20"/>
  <c r="D66" i="20"/>
  <c r="F103" i="20"/>
  <c r="D64" i="20"/>
  <c r="H98" i="20"/>
  <c r="D60" i="20"/>
  <c r="F97" i="20"/>
  <c r="G58" i="20"/>
  <c r="E58" i="20"/>
  <c r="E95" i="20" s="1"/>
  <c r="C58" i="20"/>
  <c r="B58" i="20"/>
  <c r="H57" i="20"/>
  <c r="H94" i="20" s="1"/>
  <c r="G57" i="20"/>
  <c r="F57" i="20"/>
  <c r="F94" i="20" s="1"/>
  <c r="C57" i="20"/>
  <c r="B57" i="20"/>
  <c r="B94" i="20" s="1"/>
  <c r="D55" i="20"/>
  <c r="D92" i="20" s="1"/>
  <c r="C92" i="20"/>
  <c r="D54" i="20"/>
  <c r="D53" i="20"/>
  <c r="H90" i="20"/>
  <c r="D51" i="20"/>
  <c r="F88" i="20"/>
  <c r="D50" i="20"/>
  <c r="C87" i="20"/>
  <c r="G47" i="20"/>
  <c r="C47" i="20"/>
  <c r="B47" i="20"/>
  <c r="H93" i="6"/>
  <c r="G93" i="6"/>
  <c r="F93" i="6"/>
  <c r="E93" i="6"/>
  <c r="D93" i="6"/>
  <c r="C93" i="6"/>
  <c r="B93" i="6"/>
  <c r="H86" i="6"/>
  <c r="G86" i="6"/>
  <c r="F86" i="6"/>
  <c r="E86" i="6"/>
  <c r="D86" i="6"/>
  <c r="C86" i="6"/>
  <c r="B86" i="6"/>
  <c r="H76" i="6"/>
  <c r="H113" i="6" s="1"/>
  <c r="G76" i="6"/>
  <c r="G113" i="6" s="1"/>
  <c r="F76" i="6"/>
  <c r="F113" i="6" s="1"/>
  <c r="E76" i="6"/>
  <c r="E113" i="6" s="1"/>
  <c r="D76" i="6"/>
  <c r="C76" i="6"/>
  <c r="C113" i="6" s="1"/>
  <c r="B76" i="6"/>
  <c r="H75" i="6"/>
  <c r="H112" i="6" s="1"/>
  <c r="G75" i="6"/>
  <c r="G112" i="6" s="1"/>
  <c r="F75" i="6"/>
  <c r="F112" i="6" s="1"/>
  <c r="E75" i="6"/>
  <c r="E112" i="6" s="1"/>
  <c r="C75" i="6"/>
  <c r="C112" i="6" s="1"/>
  <c r="B75" i="6"/>
  <c r="B112" i="6" s="1"/>
  <c r="H73" i="6"/>
  <c r="H110" i="6" s="1"/>
  <c r="G73" i="6"/>
  <c r="G110" i="6" s="1"/>
  <c r="F73" i="6"/>
  <c r="F110" i="6" s="1"/>
  <c r="E73" i="6"/>
  <c r="E110" i="6" s="1"/>
  <c r="D73" i="6"/>
  <c r="D110" i="6" s="1"/>
  <c r="C73" i="6"/>
  <c r="C110" i="6" s="1"/>
  <c r="B73" i="6"/>
  <c r="B110" i="6" s="1"/>
  <c r="H72" i="6"/>
  <c r="H109" i="6" s="1"/>
  <c r="G72" i="6"/>
  <c r="F72" i="6"/>
  <c r="F109" i="6" s="1"/>
  <c r="E72" i="6"/>
  <c r="E109" i="6" s="1"/>
  <c r="C72" i="6"/>
  <c r="C109" i="6" s="1"/>
  <c r="B72" i="6"/>
  <c r="B109" i="6" s="1"/>
  <c r="H70" i="6"/>
  <c r="H107" i="6" s="1"/>
  <c r="G70" i="6"/>
  <c r="G107" i="6" s="1"/>
  <c r="F70" i="6"/>
  <c r="E70" i="6"/>
  <c r="C70" i="6"/>
  <c r="B70" i="6"/>
  <c r="B107" i="6" s="1"/>
  <c r="H69" i="6"/>
  <c r="H106" i="6" s="1"/>
  <c r="G69" i="6"/>
  <c r="G106" i="6" s="1"/>
  <c r="F69" i="6"/>
  <c r="F106" i="6" s="1"/>
  <c r="E69" i="6"/>
  <c r="E106" i="6" s="1"/>
  <c r="C69" i="6"/>
  <c r="C106" i="6" s="1"/>
  <c r="B69" i="6"/>
  <c r="B106" i="6" s="1"/>
  <c r="H67" i="6"/>
  <c r="H104" i="6" s="1"/>
  <c r="G67" i="6"/>
  <c r="F67" i="6"/>
  <c r="F104" i="6" s="1"/>
  <c r="E67" i="6"/>
  <c r="C67" i="6"/>
  <c r="C104" i="6" s="1"/>
  <c r="B67" i="6"/>
  <c r="H66" i="6"/>
  <c r="H103" i="6" s="1"/>
  <c r="G66" i="6"/>
  <c r="G103" i="6" s="1"/>
  <c r="F66" i="6"/>
  <c r="F103" i="6" s="1"/>
  <c r="E66" i="6"/>
  <c r="E103" i="6" s="1"/>
  <c r="C66" i="6"/>
  <c r="C103" i="6" s="1"/>
  <c r="B66" i="6"/>
  <c r="B103" i="6" s="1"/>
  <c r="H64" i="6"/>
  <c r="G64" i="6"/>
  <c r="G101" i="6" s="1"/>
  <c r="F64" i="6"/>
  <c r="F101" i="6" s="1"/>
  <c r="E64" i="6"/>
  <c r="E101" i="6" s="1"/>
  <c r="D64" i="6"/>
  <c r="C64" i="6"/>
  <c r="C101" i="6" s="1"/>
  <c r="B64" i="6"/>
  <c r="B101" i="6" s="1"/>
  <c r="H63" i="6"/>
  <c r="H100" i="6" s="1"/>
  <c r="G63" i="6"/>
  <c r="G100" i="6" s="1"/>
  <c r="F63" i="6"/>
  <c r="E63" i="6"/>
  <c r="E100" i="6" s="1"/>
  <c r="C63" i="6"/>
  <c r="C100" i="6" s="1"/>
  <c r="B63" i="6"/>
  <c r="B100" i="6" s="1"/>
  <c r="H61" i="6"/>
  <c r="G61" i="6"/>
  <c r="G98" i="6" s="1"/>
  <c r="F61" i="6"/>
  <c r="F98" i="6" s="1"/>
  <c r="E61" i="6"/>
  <c r="E98" i="6" s="1"/>
  <c r="C61" i="6"/>
  <c r="B61" i="6"/>
  <c r="H60" i="6"/>
  <c r="H97" i="6" s="1"/>
  <c r="G60" i="6"/>
  <c r="G97" i="6" s="1"/>
  <c r="F60" i="6"/>
  <c r="E60" i="6"/>
  <c r="E97" i="6" s="1"/>
  <c r="C60" i="6"/>
  <c r="C97" i="6" s="1"/>
  <c r="B60" i="6"/>
  <c r="B97" i="6" s="1"/>
  <c r="H55" i="6"/>
  <c r="H92" i="6" s="1"/>
  <c r="G55" i="6"/>
  <c r="G92" i="6" s="1"/>
  <c r="F55" i="6"/>
  <c r="F92" i="6" s="1"/>
  <c r="E55" i="6"/>
  <c r="E92" i="6" s="1"/>
  <c r="C55" i="6"/>
  <c r="C92" i="6" s="1"/>
  <c r="B55" i="6"/>
  <c r="B92" i="6" s="1"/>
  <c r="H54" i="6"/>
  <c r="H91" i="6" s="1"/>
  <c r="G54" i="6"/>
  <c r="G91" i="6" s="1"/>
  <c r="F54" i="6"/>
  <c r="F91" i="6" s="1"/>
  <c r="E54" i="6"/>
  <c r="E91" i="6" s="1"/>
  <c r="C54" i="6"/>
  <c r="B54" i="6"/>
  <c r="B91" i="6" s="1"/>
  <c r="H53" i="6"/>
  <c r="H90" i="6" s="1"/>
  <c r="G53" i="6"/>
  <c r="G90" i="6" s="1"/>
  <c r="F53" i="6"/>
  <c r="F90" i="6" s="1"/>
  <c r="E53" i="6"/>
  <c r="E90" i="6" s="1"/>
  <c r="C53" i="6"/>
  <c r="C90" i="6" s="1"/>
  <c r="B53" i="6"/>
  <c r="B90" i="6" s="1"/>
  <c r="H51" i="6"/>
  <c r="H88" i="6" s="1"/>
  <c r="G51" i="6"/>
  <c r="F51" i="6"/>
  <c r="F88" i="6" s="1"/>
  <c r="E51" i="6"/>
  <c r="E88" i="6" s="1"/>
  <c r="C51" i="6"/>
  <c r="C88" i="6" s="1"/>
  <c r="B51" i="6"/>
  <c r="B88" i="6" s="1"/>
  <c r="H50" i="6"/>
  <c r="H87" i="6" s="1"/>
  <c r="G50" i="6"/>
  <c r="G87" i="6" s="1"/>
  <c r="F50" i="6"/>
  <c r="F87" i="6" s="1"/>
  <c r="E50" i="6"/>
  <c r="E87" i="6" s="1"/>
  <c r="C50" i="6"/>
  <c r="C87" i="6" s="1"/>
  <c r="B50" i="6"/>
  <c r="B87" i="6" s="1"/>
  <c r="D75" i="6"/>
  <c r="D72" i="6"/>
  <c r="G109" i="6"/>
  <c r="D70" i="6"/>
  <c r="E107" i="6"/>
  <c r="D69" i="6"/>
  <c r="D67" i="6"/>
  <c r="D66" i="6"/>
  <c r="D60" i="6"/>
  <c r="D97" i="6" s="1"/>
  <c r="H58" i="6"/>
  <c r="G58" i="6"/>
  <c r="E58" i="6"/>
  <c r="G57" i="6"/>
  <c r="C57" i="6"/>
  <c r="B57" i="6"/>
  <c r="D55" i="6"/>
  <c r="D54" i="6"/>
  <c r="C91" i="6"/>
  <c r="D53" i="6"/>
  <c r="D90" i="6" s="1"/>
  <c r="D51" i="6"/>
  <c r="D50" i="6"/>
  <c r="H47" i="6"/>
  <c r="G47" i="6"/>
  <c r="H46" i="6"/>
  <c r="G46" i="6"/>
  <c r="F46" i="6"/>
  <c r="C46" i="6"/>
  <c r="B46" i="6"/>
  <c r="H93" i="2"/>
  <c r="G93" i="2"/>
  <c r="F93" i="2"/>
  <c r="E93" i="2"/>
  <c r="D93" i="2"/>
  <c r="C93" i="2"/>
  <c r="B93" i="2"/>
  <c r="H86" i="2"/>
  <c r="G86" i="2"/>
  <c r="F86" i="2"/>
  <c r="E86" i="2"/>
  <c r="D86" i="2"/>
  <c r="C86" i="2"/>
  <c r="B86" i="2"/>
  <c r="H76" i="2"/>
  <c r="G76" i="2"/>
  <c r="G113" i="2" s="1"/>
  <c r="F76" i="2"/>
  <c r="F113" i="2" s="1"/>
  <c r="E76" i="2"/>
  <c r="E113" i="2" s="1"/>
  <c r="C76" i="2"/>
  <c r="B76" i="2"/>
  <c r="H75" i="2"/>
  <c r="H112" i="2" s="1"/>
  <c r="G75" i="2"/>
  <c r="G112" i="2" s="1"/>
  <c r="F75" i="2"/>
  <c r="F112" i="2" s="1"/>
  <c r="E75" i="2"/>
  <c r="C75" i="2"/>
  <c r="C112" i="2" s="1"/>
  <c r="B75" i="2"/>
  <c r="B112" i="2" s="1"/>
  <c r="H73" i="2"/>
  <c r="G73" i="2"/>
  <c r="F73" i="2"/>
  <c r="E73" i="2"/>
  <c r="C73" i="2"/>
  <c r="C110" i="2" s="1"/>
  <c r="B73" i="2"/>
  <c r="H72" i="2"/>
  <c r="H109" i="2" s="1"/>
  <c r="G72" i="2"/>
  <c r="G109" i="2" s="1"/>
  <c r="F72" i="2"/>
  <c r="E72" i="2"/>
  <c r="C72" i="2"/>
  <c r="C109" i="2" s="1"/>
  <c r="B72" i="2"/>
  <c r="B109" i="2" s="1"/>
  <c r="H70" i="2"/>
  <c r="H107" i="2" s="1"/>
  <c r="G70" i="2"/>
  <c r="F70" i="2"/>
  <c r="F107" i="2" s="1"/>
  <c r="E70" i="2"/>
  <c r="C70" i="2"/>
  <c r="B70" i="2"/>
  <c r="H69" i="2"/>
  <c r="H106" i="2" s="1"/>
  <c r="G69" i="2"/>
  <c r="G106" i="2" s="1"/>
  <c r="F69" i="2"/>
  <c r="F106" i="2" s="1"/>
  <c r="E69" i="2"/>
  <c r="C69" i="2"/>
  <c r="C106" i="2" s="1"/>
  <c r="B69" i="2"/>
  <c r="B106" i="2" s="1"/>
  <c r="H67" i="2"/>
  <c r="G67" i="2"/>
  <c r="F67" i="2"/>
  <c r="E67" i="2"/>
  <c r="E104" i="2" s="1"/>
  <c r="C67" i="2"/>
  <c r="C104" i="2" s="1"/>
  <c r="B67" i="2"/>
  <c r="H66" i="2"/>
  <c r="H103" i="2" s="1"/>
  <c r="G66" i="2"/>
  <c r="G103" i="2" s="1"/>
  <c r="F66" i="2"/>
  <c r="E66" i="2"/>
  <c r="E103" i="2" s="1"/>
  <c r="C66" i="2"/>
  <c r="B66" i="2"/>
  <c r="B103" i="2" s="1"/>
  <c r="H64" i="2"/>
  <c r="H101" i="2" s="1"/>
  <c r="G64" i="2"/>
  <c r="F64" i="2"/>
  <c r="E64" i="2"/>
  <c r="C64" i="2"/>
  <c r="B64" i="2"/>
  <c r="H63" i="2"/>
  <c r="H100" i="2" s="1"/>
  <c r="G63" i="2"/>
  <c r="G100" i="2" s="1"/>
  <c r="F63" i="2"/>
  <c r="F100" i="2" s="1"/>
  <c r="E63" i="2"/>
  <c r="E100" i="2" s="1"/>
  <c r="C63" i="2"/>
  <c r="C100" i="2" s="1"/>
  <c r="B63" i="2"/>
  <c r="B100" i="2" s="1"/>
  <c r="H61" i="2"/>
  <c r="G61" i="2"/>
  <c r="G98" i="2" s="1"/>
  <c r="F61" i="2"/>
  <c r="E61" i="2"/>
  <c r="E98" i="2" s="1"/>
  <c r="C61" i="2"/>
  <c r="B61" i="2"/>
  <c r="H60" i="2"/>
  <c r="H62" i="2" s="1"/>
  <c r="G60" i="2"/>
  <c r="G97" i="2" s="1"/>
  <c r="F60" i="2"/>
  <c r="E60" i="2"/>
  <c r="C60" i="2"/>
  <c r="C97" i="2" s="1"/>
  <c r="B60" i="2"/>
  <c r="B97" i="2" s="1"/>
  <c r="H55" i="2"/>
  <c r="H92" i="2" s="1"/>
  <c r="G55" i="2"/>
  <c r="G92" i="2" s="1"/>
  <c r="F55" i="2"/>
  <c r="F92" i="2" s="1"/>
  <c r="E55" i="2"/>
  <c r="C55" i="2"/>
  <c r="B55" i="2"/>
  <c r="H54" i="2"/>
  <c r="H91" i="2" s="1"/>
  <c r="G54" i="2"/>
  <c r="F54" i="2"/>
  <c r="F91" i="2" s="1"/>
  <c r="E54" i="2"/>
  <c r="C54" i="2"/>
  <c r="C91" i="2" s="1"/>
  <c r="B54" i="2"/>
  <c r="B91" i="2" s="1"/>
  <c r="H53" i="2"/>
  <c r="G53" i="2"/>
  <c r="F53" i="2"/>
  <c r="F90" i="2" s="1"/>
  <c r="E53" i="2"/>
  <c r="E90" i="2" s="1"/>
  <c r="C53" i="2"/>
  <c r="C90" i="2" s="1"/>
  <c r="B53" i="2"/>
  <c r="H51" i="2"/>
  <c r="H88" i="2" s="1"/>
  <c r="G51" i="2"/>
  <c r="F51" i="2"/>
  <c r="E51" i="2"/>
  <c r="C51" i="2"/>
  <c r="C88" i="2" s="1"/>
  <c r="B51" i="2"/>
  <c r="B88" i="2" s="1"/>
  <c r="H50" i="2"/>
  <c r="H87" i="2" s="1"/>
  <c r="G50" i="2"/>
  <c r="F50" i="2"/>
  <c r="F87" i="2" s="1"/>
  <c r="E50" i="2"/>
  <c r="E87" i="2" s="1"/>
  <c r="C50" i="2"/>
  <c r="B50" i="2"/>
  <c r="D76" i="2"/>
  <c r="C113" i="2"/>
  <c r="E112" i="2"/>
  <c r="D73" i="2"/>
  <c r="G110" i="2"/>
  <c r="B110" i="2"/>
  <c r="D72" i="2"/>
  <c r="F109" i="2"/>
  <c r="D70" i="2"/>
  <c r="G107" i="2"/>
  <c r="B107" i="2"/>
  <c r="D69" i="2"/>
  <c r="E106" i="2"/>
  <c r="D67" i="2"/>
  <c r="G104" i="2"/>
  <c r="D66" i="2"/>
  <c r="F103" i="2"/>
  <c r="D64" i="2"/>
  <c r="G101" i="2"/>
  <c r="C101" i="2"/>
  <c r="B101" i="2"/>
  <c r="H98" i="2"/>
  <c r="D60" i="2"/>
  <c r="F97" i="2"/>
  <c r="H58" i="2"/>
  <c r="F58" i="2"/>
  <c r="E58" i="2"/>
  <c r="E95" i="2" s="1"/>
  <c r="D58" i="2"/>
  <c r="C58" i="2"/>
  <c r="B58" i="2"/>
  <c r="B95" i="2" s="1"/>
  <c r="H57" i="2"/>
  <c r="H94" i="2" s="1"/>
  <c r="G57" i="2"/>
  <c r="F57" i="2"/>
  <c r="F94" i="2" s="1"/>
  <c r="E57" i="2"/>
  <c r="D57" i="2"/>
  <c r="C57" i="2"/>
  <c r="C94" i="2" s="1"/>
  <c r="B57" i="2"/>
  <c r="B94" i="2" s="1"/>
  <c r="D55" i="2"/>
  <c r="D92" i="2" s="1"/>
  <c r="C92" i="2"/>
  <c r="B92" i="2"/>
  <c r="D54" i="2"/>
  <c r="G91" i="2"/>
  <c r="E91" i="2"/>
  <c r="D53" i="2"/>
  <c r="H90" i="2"/>
  <c r="G90" i="2"/>
  <c r="B90" i="2"/>
  <c r="D51" i="2"/>
  <c r="F88" i="2"/>
  <c r="E88" i="2"/>
  <c r="D50" i="2"/>
  <c r="G87" i="2"/>
  <c r="C87" i="2"/>
  <c r="B87" i="2"/>
  <c r="G47" i="2"/>
  <c r="C47" i="2"/>
  <c r="B47" i="2"/>
  <c r="B84" i="2" s="1"/>
  <c r="H46" i="2"/>
  <c r="H83" i="2" s="1"/>
  <c r="G46" i="2"/>
  <c r="F46" i="2"/>
  <c r="F83" i="2" s="1"/>
  <c r="E46" i="2"/>
  <c r="D46" i="2"/>
  <c r="C46" i="2"/>
  <c r="C83" i="2" s="1"/>
  <c r="B46" i="2"/>
  <c r="B83" i="2" s="1"/>
  <c r="H93" i="27"/>
  <c r="G93" i="27"/>
  <c r="F93" i="27"/>
  <c r="E93" i="27"/>
  <c r="D93" i="27"/>
  <c r="C93" i="27"/>
  <c r="B93" i="27"/>
  <c r="H86" i="27"/>
  <c r="G86" i="27"/>
  <c r="F86" i="27"/>
  <c r="E86" i="27"/>
  <c r="D86" i="27"/>
  <c r="C86" i="27"/>
  <c r="B86" i="27"/>
  <c r="H76" i="27"/>
  <c r="G76" i="27"/>
  <c r="G113" i="27" s="1"/>
  <c r="F76" i="27"/>
  <c r="F113" i="27" s="1"/>
  <c r="E76" i="27"/>
  <c r="E113" i="27" s="1"/>
  <c r="C76" i="27"/>
  <c r="B76" i="27"/>
  <c r="H75" i="27"/>
  <c r="H112" i="27" s="1"/>
  <c r="G75" i="27"/>
  <c r="G112" i="27" s="1"/>
  <c r="F75" i="27"/>
  <c r="F112" i="27" s="1"/>
  <c r="E75" i="27"/>
  <c r="E112" i="27" s="1"/>
  <c r="C75" i="27"/>
  <c r="C112" i="27" s="1"/>
  <c r="B75" i="27"/>
  <c r="B112" i="27" s="1"/>
  <c r="H73" i="27"/>
  <c r="G73" i="27"/>
  <c r="G110" i="27" s="1"/>
  <c r="F73" i="27"/>
  <c r="F110" i="27" s="1"/>
  <c r="E73" i="27"/>
  <c r="C73" i="27"/>
  <c r="C110" i="27" s="1"/>
  <c r="B73" i="27"/>
  <c r="B110" i="27" s="1"/>
  <c r="H72" i="27"/>
  <c r="H109" i="27" s="1"/>
  <c r="G72" i="27"/>
  <c r="F72" i="27"/>
  <c r="E72" i="27"/>
  <c r="C72" i="27"/>
  <c r="C109" i="27" s="1"/>
  <c r="B72" i="27"/>
  <c r="B109" i="27" s="1"/>
  <c r="H70" i="27"/>
  <c r="H107" i="27" s="1"/>
  <c r="G70" i="27"/>
  <c r="G107" i="27" s="1"/>
  <c r="F70" i="27"/>
  <c r="E70" i="27"/>
  <c r="C70" i="27"/>
  <c r="B70" i="27"/>
  <c r="H69" i="27"/>
  <c r="H106" i="27" s="1"/>
  <c r="G69" i="27"/>
  <c r="G106" i="27" s="1"/>
  <c r="F69" i="27"/>
  <c r="E69" i="27"/>
  <c r="C69" i="27"/>
  <c r="C106" i="27" s="1"/>
  <c r="B69" i="27"/>
  <c r="B106" i="27" s="1"/>
  <c r="H67" i="27"/>
  <c r="G67" i="27"/>
  <c r="F67" i="27"/>
  <c r="F104" i="27" s="1"/>
  <c r="E67" i="27"/>
  <c r="C67" i="27"/>
  <c r="C104" i="27" s="1"/>
  <c r="B67" i="27"/>
  <c r="B104" i="27" s="1"/>
  <c r="H66" i="27"/>
  <c r="H103" i="27" s="1"/>
  <c r="G66" i="27"/>
  <c r="F66" i="27"/>
  <c r="F103" i="27" s="1"/>
  <c r="E66" i="27"/>
  <c r="E103" i="27" s="1"/>
  <c r="C66" i="27"/>
  <c r="C103" i="27" s="1"/>
  <c r="B66" i="27"/>
  <c r="B103" i="27" s="1"/>
  <c r="H64" i="27"/>
  <c r="G64" i="27"/>
  <c r="F64" i="27"/>
  <c r="F101" i="27" s="1"/>
  <c r="E64" i="27"/>
  <c r="C64" i="27"/>
  <c r="B64" i="27"/>
  <c r="B101" i="27" s="1"/>
  <c r="H63" i="27"/>
  <c r="G63" i="27"/>
  <c r="G100" i="27" s="1"/>
  <c r="F63" i="27"/>
  <c r="F100" i="27" s="1"/>
  <c r="E63" i="27"/>
  <c r="E100" i="27" s="1"/>
  <c r="C63" i="27"/>
  <c r="C100" i="27" s="1"/>
  <c r="B63" i="27"/>
  <c r="B100" i="27" s="1"/>
  <c r="H61" i="27"/>
  <c r="G61" i="27"/>
  <c r="F61" i="27"/>
  <c r="E61" i="27"/>
  <c r="E98" i="27" s="1"/>
  <c r="C61" i="27"/>
  <c r="C98" i="27" s="1"/>
  <c r="B61" i="27"/>
  <c r="H60" i="27"/>
  <c r="H97" i="27" s="1"/>
  <c r="G60" i="27"/>
  <c r="G97" i="27" s="1"/>
  <c r="F60" i="27"/>
  <c r="F97" i="27" s="1"/>
  <c r="E60" i="27"/>
  <c r="E97" i="27" s="1"/>
  <c r="C60" i="27"/>
  <c r="B60" i="27"/>
  <c r="B97" i="27" s="1"/>
  <c r="H55" i="27"/>
  <c r="H92" i="27" s="1"/>
  <c r="G55" i="27"/>
  <c r="G92" i="27" s="1"/>
  <c r="F55" i="27"/>
  <c r="F92" i="27" s="1"/>
  <c r="E55" i="27"/>
  <c r="E92" i="27" s="1"/>
  <c r="C55" i="27"/>
  <c r="C92" i="27" s="1"/>
  <c r="B55" i="27"/>
  <c r="B92" i="27" s="1"/>
  <c r="H54" i="27"/>
  <c r="H91" i="27" s="1"/>
  <c r="G54" i="27"/>
  <c r="G91" i="27" s="1"/>
  <c r="F54" i="27"/>
  <c r="F91" i="27" s="1"/>
  <c r="E54" i="27"/>
  <c r="E91" i="27" s="1"/>
  <c r="C54" i="27"/>
  <c r="C91" i="27" s="1"/>
  <c r="B54" i="27"/>
  <c r="B91" i="27" s="1"/>
  <c r="H53" i="27"/>
  <c r="H90" i="27" s="1"/>
  <c r="G53" i="27"/>
  <c r="G90" i="27" s="1"/>
  <c r="F53" i="27"/>
  <c r="F90" i="27" s="1"/>
  <c r="E53" i="27"/>
  <c r="E90" i="27" s="1"/>
  <c r="C53" i="27"/>
  <c r="C90" i="27" s="1"/>
  <c r="B53" i="27"/>
  <c r="B90" i="27" s="1"/>
  <c r="H51" i="27"/>
  <c r="H88" i="27" s="1"/>
  <c r="G51" i="27"/>
  <c r="G88" i="27" s="1"/>
  <c r="F51" i="27"/>
  <c r="F88" i="27" s="1"/>
  <c r="E51" i="27"/>
  <c r="E88" i="27" s="1"/>
  <c r="C51" i="27"/>
  <c r="C88" i="27" s="1"/>
  <c r="B51" i="27"/>
  <c r="B88" i="27" s="1"/>
  <c r="H50" i="27"/>
  <c r="G50" i="27"/>
  <c r="G87" i="27" s="1"/>
  <c r="F50" i="27"/>
  <c r="E50" i="27"/>
  <c r="E87" i="27" s="1"/>
  <c r="C50" i="27"/>
  <c r="C87" i="27" s="1"/>
  <c r="B50" i="27"/>
  <c r="B87" i="27" s="1"/>
  <c r="D72" i="27"/>
  <c r="E106" i="27"/>
  <c r="D66" i="27"/>
  <c r="D64" i="27"/>
  <c r="F58" i="27"/>
  <c r="E58" i="27"/>
  <c r="E95" i="27" s="1"/>
  <c r="H57" i="27"/>
  <c r="H94" i="27" s="1"/>
  <c r="D55" i="27"/>
  <c r="D50" i="27"/>
  <c r="H46" i="27"/>
  <c r="H93" i="19"/>
  <c r="G93" i="19"/>
  <c r="F93" i="19"/>
  <c r="E93" i="19"/>
  <c r="D93" i="19"/>
  <c r="C93" i="19"/>
  <c r="B93" i="19"/>
  <c r="H86" i="19"/>
  <c r="G86" i="19"/>
  <c r="F86" i="19"/>
  <c r="E86" i="19"/>
  <c r="D86" i="19"/>
  <c r="C86" i="19"/>
  <c r="B86" i="19"/>
  <c r="H76" i="19"/>
  <c r="G76" i="19"/>
  <c r="G113" i="19" s="1"/>
  <c r="F76" i="19"/>
  <c r="E76" i="19"/>
  <c r="C76" i="19"/>
  <c r="B76" i="19"/>
  <c r="H75" i="19"/>
  <c r="G75" i="19"/>
  <c r="G112" i="19" s="1"/>
  <c r="F75" i="19"/>
  <c r="F112" i="19" s="1"/>
  <c r="E75" i="19"/>
  <c r="E112" i="19" s="1"/>
  <c r="C75" i="19"/>
  <c r="C112" i="19" s="1"/>
  <c r="B75" i="19"/>
  <c r="B112" i="19" s="1"/>
  <c r="H73" i="19"/>
  <c r="G73" i="19"/>
  <c r="G110" i="19" s="1"/>
  <c r="F73" i="19"/>
  <c r="F110" i="19" s="1"/>
  <c r="E73" i="19"/>
  <c r="D73" i="19"/>
  <c r="D110" i="19" s="1"/>
  <c r="C73" i="19"/>
  <c r="C110" i="19" s="1"/>
  <c r="B73" i="19"/>
  <c r="B110" i="19" s="1"/>
  <c r="H72" i="19"/>
  <c r="H109" i="19" s="1"/>
  <c r="G72" i="19"/>
  <c r="G109" i="19" s="1"/>
  <c r="F72" i="19"/>
  <c r="F109" i="19" s="1"/>
  <c r="E72" i="19"/>
  <c r="C72" i="19"/>
  <c r="C109" i="19" s="1"/>
  <c r="B72" i="19"/>
  <c r="B109" i="19" s="1"/>
  <c r="H70" i="19"/>
  <c r="H107" i="19" s="1"/>
  <c r="G70" i="19"/>
  <c r="F70" i="19"/>
  <c r="E70" i="19"/>
  <c r="E107" i="19" s="1"/>
  <c r="C70" i="19"/>
  <c r="B70" i="19"/>
  <c r="H69" i="19"/>
  <c r="H106" i="19" s="1"/>
  <c r="G69" i="19"/>
  <c r="G106" i="19" s="1"/>
  <c r="F69" i="19"/>
  <c r="F106" i="19" s="1"/>
  <c r="E69" i="19"/>
  <c r="E106" i="19" s="1"/>
  <c r="C69" i="19"/>
  <c r="C106" i="19" s="1"/>
  <c r="B69" i="19"/>
  <c r="B106" i="19" s="1"/>
  <c r="H67" i="19"/>
  <c r="H104" i="19" s="1"/>
  <c r="G67" i="19"/>
  <c r="G104" i="19" s="1"/>
  <c r="F67" i="19"/>
  <c r="F104" i="19" s="1"/>
  <c r="E67" i="19"/>
  <c r="E104" i="19" s="1"/>
  <c r="D67" i="19"/>
  <c r="C67" i="19"/>
  <c r="C104" i="19" s="1"/>
  <c r="B67" i="19"/>
  <c r="B104" i="19" s="1"/>
  <c r="C66" i="19"/>
  <c r="C103" i="19" s="1"/>
  <c r="B66" i="19"/>
  <c r="B103" i="19" s="1"/>
  <c r="H64" i="19"/>
  <c r="G64" i="19"/>
  <c r="F64" i="19"/>
  <c r="E64" i="19"/>
  <c r="E101" i="19" s="1"/>
  <c r="D64" i="19"/>
  <c r="C64" i="19"/>
  <c r="B64" i="19"/>
  <c r="H63" i="19"/>
  <c r="H100" i="19" s="1"/>
  <c r="G63" i="19"/>
  <c r="F63" i="19"/>
  <c r="F100" i="19" s="1"/>
  <c r="E63" i="19"/>
  <c r="E100" i="19" s="1"/>
  <c r="C63" i="19"/>
  <c r="C100" i="19" s="1"/>
  <c r="B63" i="19"/>
  <c r="B100" i="19" s="1"/>
  <c r="H61" i="19"/>
  <c r="G61" i="19"/>
  <c r="G98" i="19" s="1"/>
  <c r="F61" i="19"/>
  <c r="F98" i="19" s="1"/>
  <c r="E61" i="19"/>
  <c r="D61" i="19"/>
  <c r="C61" i="19"/>
  <c r="B61" i="19"/>
  <c r="B98" i="19" s="1"/>
  <c r="H60" i="19"/>
  <c r="G60" i="19"/>
  <c r="G97" i="19" s="1"/>
  <c r="F60" i="19"/>
  <c r="E60" i="19"/>
  <c r="E97" i="19" s="1"/>
  <c r="C60" i="19"/>
  <c r="C97" i="19" s="1"/>
  <c r="B60" i="19"/>
  <c r="B97" i="19" s="1"/>
  <c r="H55" i="19"/>
  <c r="H92" i="19" s="1"/>
  <c r="G55" i="19"/>
  <c r="F55" i="19"/>
  <c r="F92" i="19" s="1"/>
  <c r="E55" i="19"/>
  <c r="E92" i="19" s="1"/>
  <c r="C55" i="19"/>
  <c r="C92" i="19" s="1"/>
  <c r="B55" i="19"/>
  <c r="B92" i="19" s="1"/>
  <c r="H54" i="19"/>
  <c r="H91" i="19" s="1"/>
  <c r="G54" i="19"/>
  <c r="G91" i="19" s="1"/>
  <c r="F54" i="19"/>
  <c r="F91" i="19" s="1"/>
  <c r="E54" i="19"/>
  <c r="E91" i="19" s="1"/>
  <c r="D54" i="19"/>
  <c r="C54" i="19"/>
  <c r="C91" i="19" s="1"/>
  <c r="B54" i="19"/>
  <c r="B91" i="19" s="1"/>
  <c r="H53" i="19"/>
  <c r="H90" i="19" s="1"/>
  <c r="G53" i="19"/>
  <c r="G90" i="19" s="1"/>
  <c r="F53" i="19"/>
  <c r="F90" i="19" s="1"/>
  <c r="E53" i="19"/>
  <c r="E90" i="19" s="1"/>
  <c r="D53" i="19"/>
  <c r="C53" i="19"/>
  <c r="C90" i="19" s="1"/>
  <c r="B53" i="19"/>
  <c r="B90" i="19" s="1"/>
  <c r="H51" i="19"/>
  <c r="G51" i="19"/>
  <c r="F51" i="19"/>
  <c r="E51" i="19"/>
  <c r="E88" i="19" s="1"/>
  <c r="D51" i="19"/>
  <c r="C51" i="19"/>
  <c r="B51" i="19"/>
  <c r="H50" i="19"/>
  <c r="H87" i="19" s="1"/>
  <c r="G50" i="19"/>
  <c r="F50" i="19"/>
  <c r="F87" i="19" s="1"/>
  <c r="E50" i="19"/>
  <c r="E87" i="19" s="1"/>
  <c r="C50" i="19"/>
  <c r="C87" i="19" s="1"/>
  <c r="B50" i="19"/>
  <c r="B87" i="19" s="1"/>
  <c r="D76" i="19"/>
  <c r="D75" i="19"/>
  <c r="D72" i="19"/>
  <c r="D69" i="19"/>
  <c r="D106" i="19" s="1"/>
  <c r="E66" i="19"/>
  <c r="D63" i="19"/>
  <c r="D60" i="19"/>
  <c r="F97" i="19"/>
  <c r="H58" i="19"/>
  <c r="G58" i="19"/>
  <c r="E58" i="19"/>
  <c r="E95" i="19" s="1"/>
  <c r="C58" i="19"/>
  <c r="C95" i="19" s="1"/>
  <c r="B58" i="19"/>
  <c r="H57" i="19"/>
  <c r="G57" i="19"/>
  <c r="C57" i="19"/>
  <c r="B57" i="19"/>
  <c r="D55" i="19"/>
  <c r="D92" i="19" s="1"/>
  <c r="F88" i="19"/>
  <c r="D50" i="19"/>
  <c r="H46" i="19"/>
  <c r="G46" i="19"/>
  <c r="H93" i="12"/>
  <c r="G93" i="12"/>
  <c r="F93" i="12"/>
  <c r="E93" i="12"/>
  <c r="D93" i="12"/>
  <c r="C93" i="12"/>
  <c r="B93" i="12"/>
  <c r="H86" i="12"/>
  <c r="G86" i="12"/>
  <c r="F86" i="12"/>
  <c r="E86" i="12"/>
  <c r="D86" i="12"/>
  <c r="C86" i="12"/>
  <c r="B86" i="12"/>
  <c r="H76" i="12"/>
  <c r="G76" i="12"/>
  <c r="G113" i="12" s="1"/>
  <c r="F76" i="12"/>
  <c r="F113" i="12" s="1"/>
  <c r="E76" i="12"/>
  <c r="E113" i="12" s="1"/>
  <c r="D76" i="12"/>
  <c r="D113" i="12" s="1"/>
  <c r="C76" i="12"/>
  <c r="C113" i="12" s="1"/>
  <c r="B76" i="12"/>
  <c r="B113" i="12" s="1"/>
  <c r="H75" i="12"/>
  <c r="H112" i="12" s="1"/>
  <c r="G75" i="12"/>
  <c r="G112" i="12" s="1"/>
  <c r="F75" i="12"/>
  <c r="F112" i="12" s="1"/>
  <c r="E75" i="12"/>
  <c r="E112" i="12" s="1"/>
  <c r="D75" i="12"/>
  <c r="D112" i="12" s="1"/>
  <c r="C75" i="12"/>
  <c r="C112" i="12" s="1"/>
  <c r="B75" i="12"/>
  <c r="B112" i="12" s="1"/>
  <c r="H73" i="12"/>
  <c r="H110" i="12" s="1"/>
  <c r="G73" i="12"/>
  <c r="G110" i="12" s="1"/>
  <c r="F73" i="12"/>
  <c r="F110" i="12" s="1"/>
  <c r="E73" i="12"/>
  <c r="E110" i="12" s="1"/>
  <c r="D73" i="12"/>
  <c r="D110" i="12" s="1"/>
  <c r="C73" i="12"/>
  <c r="C110" i="12" s="1"/>
  <c r="B73" i="12"/>
  <c r="B110" i="12" s="1"/>
  <c r="H72" i="12"/>
  <c r="H109" i="12" s="1"/>
  <c r="G72" i="12"/>
  <c r="G109" i="12" s="1"/>
  <c r="F72" i="12"/>
  <c r="F109" i="12" s="1"/>
  <c r="E72" i="12"/>
  <c r="D72" i="12"/>
  <c r="D109" i="12" s="1"/>
  <c r="C72" i="12"/>
  <c r="C109" i="12" s="1"/>
  <c r="B72" i="12"/>
  <c r="B109" i="12" s="1"/>
  <c r="H70" i="12"/>
  <c r="H107" i="12" s="1"/>
  <c r="G70" i="12"/>
  <c r="G107" i="12" s="1"/>
  <c r="F70" i="12"/>
  <c r="F107" i="12" s="1"/>
  <c r="E70" i="12"/>
  <c r="E107" i="12" s="1"/>
  <c r="D70" i="12"/>
  <c r="D107" i="12" s="1"/>
  <c r="C70" i="12"/>
  <c r="C107" i="12" s="1"/>
  <c r="B70" i="12"/>
  <c r="B107" i="12" s="1"/>
  <c r="H69" i="12"/>
  <c r="H106" i="12" s="1"/>
  <c r="G69" i="12"/>
  <c r="G106" i="12" s="1"/>
  <c r="F69" i="12"/>
  <c r="F106" i="12" s="1"/>
  <c r="E69" i="12"/>
  <c r="E106" i="12" s="1"/>
  <c r="D69" i="12"/>
  <c r="D106" i="12" s="1"/>
  <c r="C69" i="12"/>
  <c r="C106" i="12" s="1"/>
  <c r="B69" i="12"/>
  <c r="H67" i="12"/>
  <c r="H104" i="12" s="1"/>
  <c r="G67" i="12"/>
  <c r="G104" i="12" s="1"/>
  <c r="F67" i="12"/>
  <c r="F104" i="12" s="1"/>
  <c r="E67" i="12"/>
  <c r="E104" i="12" s="1"/>
  <c r="D67" i="12"/>
  <c r="D104" i="12" s="1"/>
  <c r="C67" i="12"/>
  <c r="C104" i="12" s="1"/>
  <c r="B67" i="12"/>
  <c r="B104" i="12" s="1"/>
  <c r="H66" i="12"/>
  <c r="H103" i="12" s="1"/>
  <c r="G66" i="12"/>
  <c r="F66" i="12"/>
  <c r="F103" i="12" s="1"/>
  <c r="E66" i="12"/>
  <c r="E103" i="12" s="1"/>
  <c r="D66" i="12"/>
  <c r="D103" i="12" s="1"/>
  <c r="C66" i="12"/>
  <c r="C103" i="12" s="1"/>
  <c r="B66" i="12"/>
  <c r="B103" i="12" s="1"/>
  <c r="H64" i="12"/>
  <c r="H101" i="12" s="1"/>
  <c r="G64" i="12"/>
  <c r="G101" i="12" s="1"/>
  <c r="F64" i="12"/>
  <c r="F101" i="12" s="1"/>
  <c r="E64" i="12"/>
  <c r="E101" i="12" s="1"/>
  <c r="D64" i="12"/>
  <c r="D101" i="12" s="1"/>
  <c r="C64" i="12"/>
  <c r="C101" i="12" s="1"/>
  <c r="B64" i="12"/>
  <c r="B101" i="12" s="1"/>
  <c r="H63" i="12"/>
  <c r="H100" i="12" s="1"/>
  <c r="G63" i="12"/>
  <c r="G100" i="12" s="1"/>
  <c r="F63" i="12"/>
  <c r="F100" i="12" s="1"/>
  <c r="E63" i="12"/>
  <c r="E100" i="12" s="1"/>
  <c r="D63" i="12"/>
  <c r="C63" i="12"/>
  <c r="C100" i="12" s="1"/>
  <c r="B63" i="12"/>
  <c r="B100" i="12" s="1"/>
  <c r="H61" i="12"/>
  <c r="H98" i="12" s="1"/>
  <c r="G61" i="12"/>
  <c r="G98" i="12" s="1"/>
  <c r="F61" i="12"/>
  <c r="F98" i="12" s="1"/>
  <c r="E61" i="12"/>
  <c r="E98" i="12" s="1"/>
  <c r="D61" i="12"/>
  <c r="D98" i="12" s="1"/>
  <c r="C61" i="12"/>
  <c r="C98" i="12" s="1"/>
  <c r="B61" i="12"/>
  <c r="B98" i="12" s="1"/>
  <c r="H60" i="12"/>
  <c r="H97" i="12" s="1"/>
  <c r="G60" i="12"/>
  <c r="G97" i="12" s="1"/>
  <c r="F60" i="12"/>
  <c r="F97" i="12" s="1"/>
  <c r="E60" i="12"/>
  <c r="E97" i="12" s="1"/>
  <c r="D60" i="12"/>
  <c r="D97" i="12" s="1"/>
  <c r="C60" i="12"/>
  <c r="C97" i="12" s="1"/>
  <c r="B60" i="12"/>
  <c r="B97" i="12" s="1"/>
  <c r="H58" i="12"/>
  <c r="H95" i="12" s="1"/>
  <c r="G58" i="12"/>
  <c r="G95" i="12" s="1"/>
  <c r="F58" i="12"/>
  <c r="F95" i="12" s="1"/>
  <c r="E58" i="12"/>
  <c r="E95" i="12" s="1"/>
  <c r="D58" i="12"/>
  <c r="D95" i="12" s="1"/>
  <c r="C58" i="12"/>
  <c r="C95" i="12" s="1"/>
  <c r="B58" i="12"/>
  <c r="B95" i="12" s="1"/>
  <c r="H57" i="12"/>
  <c r="H94" i="12" s="1"/>
  <c r="G57" i="12"/>
  <c r="G94" i="12" s="1"/>
  <c r="F57" i="12"/>
  <c r="E57" i="12"/>
  <c r="E94" i="12" s="1"/>
  <c r="D57" i="12"/>
  <c r="D94" i="12" s="1"/>
  <c r="C57" i="12"/>
  <c r="C94" i="12" s="1"/>
  <c r="B57" i="12"/>
  <c r="B94" i="12" s="1"/>
  <c r="H55" i="12"/>
  <c r="H92" i="12" s="1"/>
  <c r="G55" i="12"/>
  <c r="G92" i="12" s="1"/>
  <c r="F55" i="12"/>
  <c r="F92" i="12" s="1"/>
  <c r="E55" i="12"/>
  <c r="E92" i="12" s="1"/>
  <c r="D55" i="12"/>
  <c r="D92" i="12" s="1"/>
  <c r="C55" i="12"/>
  <c r="C92" i="12" s="1"/>
  <c r="B55" i="12"/>
  <c r="B92" i="12" s="1"/>
  <c r="H54" i="12"/>
  <c r="H91" i="12" s="1"/>
  <c r="G54" i="12"/>
  <c r="G91" i="12" s="1"/>
  <c r="F54" i="12"/>
  <c r="F91" i="12" s="1"/>
  <c r="E54" i="12"/>
  <c r="E91" i="12" s="1"/>
  <c r="D54" i="12"/>
  <c r="D91" i="12" s="1"/>
  <c r="C54" i="12"/>
  <c r="C91" i="12" s="1"/>
  <c r="B54" i="12"/>
  <c r="B91" i="12" s="1"/>
  <c r="H53" i="12"/>
  <c r="H90" i="12" s="1"/>
  <c r="G53" i="12"/>
  <c r="G90" i="12" s="1"/>
  <c r="F53" i="12"/>
  <c r="F90" i="12" s="1"/>
  <c r="E53" i="12"/>
  <c r="E90" i="12" s="1"/>
  <c r="D53" i="12"/>
  <c r="D90" i="12" s="1"/>
  <c r="C53" i="12"/>
  <c r="C90" i="12" s="1"/>
  <c r="B53" i="12"/>
  <c r="B90" i="12" s="1"/>
  <c r="H51" i="12"/>
  <c r="H88" i="12" s="1"/>
  <c r="G51" i="12"/>
  <c r="G88" i="12" s="1"/>
  <c r="F51" i="12"/>
  <c r="F88" i="12" s="1"/>
  <c r="E51" i="12"/>
  <c r="E88" i="12" s="1"/>
  <c r="D51" i="12"/>
  <c r="D88" i="12" s="1"/>
  <c r="C51" i="12"/>
  <c r="C88" i="12" s="1"/>
  <c r="B51" i="12"/>
  <c r="B88" i="12" s="1"/>
  <c r="H50" i="12"/>
  <c r="G50" i="12"/>
  <c r="G87" i="12" s="1"/>
  <c r="F50" i="12"/>
  <c r="F87" i="12" s="1"/>
  <c r="E50" i="12"/>
  <c r="E87" i="12" s="1"/>
  <c r="D50" i="12"/>
  <c r="D87" i="12" s="1"/>
  <c r="C50" i="12"/>
  <c r="C87" i="12" s="1"/>
  <c r="B50" i="12"/>
  <c r="B87" i="12" s="1"/>
  <c r="H47" i="12"/>
  <c r="H84" i="12" s="1"/>
  <c r="G47" i="12"/>
  <c r="G84" i="12" s="1"/>
  <c r="F47" i="12"/>
  <c r="F84" i="12" s="1"/>
  <c r="E47" i="12"/>
  <c r="E84" i="12" s="1"/>
  <c r="D47" i="12"/>
  <c r="D84" i="12" s="1"/>
  <c r="C47" i="12"/>
  <c r="B47" i="12"/>
  <c r="B84" i="12" s="1"/>
  <c r="H46" i="12"/>
  <c r="H83" i="12" s="1"/>
  <c r="G46" i="12"/>
  <c r="G83" i="12" s="1"/>
  <c r="F46" i="12"/>
  <c r="F83" i="12" s="1"/>
  <c r="E46" i="12"/>
  <c r="D46" i="12"/>
  <c r="D83" i="12" s="1"/>
  <c r="C46" i="12"/>
  <c r="C83" i="12" s="1"/>
  <c r="B46" i="12"/>
  <c r="B83" i="12" s="1"/>
  <c r="H93" i="21"/>
  <c r="G93" i="21"/>
  <c r="F93" i="21"/>
  <c r="E93" i="21"/>
  <c r="D93" i="21"/>
  <c r="C93" i="21"/>
  <c r="B93" i="21"/>
  <c r="H86" i="21"/>
  <c r="G86" i="21"/>
  <c r="F86" i="21"/>
  <c r="E86" i="21"/>
  <c r="D86" i="21"/>
  <c r="C86" i="21"/>
  <c r="B86" i="21"/>
  <c r="H76" i="21"/>
  <c r="G76" i="21"/>
  <c r="F76" i="21"/>
  <c r="E76" i="21"/>
  <c r="E113" i="21" s="1"/>
  <c r="C76" i="21"/>
  <c r="B76" i="21"/>
  <c r="H75" i="21"/>
  <c r="G75" i="21"/>
  <c r="G112" i="21" s="1"/>
  <c r="F75" i="21"/>
  <c r="F112" i="21" s="1"/>
  <c r="E75" i="21"/>
  <c r="E112" i="21" s="1"/>
  <c r="D75" i="21"/>
  <c r="C75" i="21"/>
  <c r="C112" i="21" s="1"/>
  <c r="B75" i="21"/>
  <c r="B112" i="21" s="1"/>
  <c r="H73" i="21"/>
  <c r="G73" i="21"/>
  <c r="F73" i="21"/>
  <c r="E73" i="21"/>
  <c r="E110" i="21" s="1"/>
  <c r="C73" i="21"/>
  <c r="C110" i="21" s="1"/>
  <c r="B73" i="21"/>
  <c r="H72" i="21"/>
  <c r="H109" i="21" s="1"/>
  <c r="G72" i="21"/>
  <c r="G109" i="21" s="1"/>
  <c r="F72" i="21"/>
  <c r="E72" i="21"/>
  <c r="D72" i="21"/>
  <c r="D109" i="21" s="1"/>
  <c r="C72" i="21"/>
  <c r="C109" i="21" s="1"/>
  <c r="B72" i="21"/>
  <c r="B109" i="21" s="1"/>
  <c r="H70" i="21"/>
  <c r="H107" i="21" s="1"/>
  <c r="G70" i="21"/>
  <c r="G107" i="21" s="1"/>
  <c r="F70" i="21"/>
  <c r="E70" i="21"/>
  <c r="E107" i="21" s="1"/>
  <c r="C70" i="21"/>
  <c r="C107" i="21" s="1"/>
  <c r="B70" i="21"/>
  <c r="H69" i="21"/>
  <c r="H106" i="21" s="1"/>
  <c r="G69" i="21"/>
  <c r="G106" i="21" s="1"/>
  <c r="F69" i="21"/>
  <c r="F106" i="21" s="1"/>
  <c r="E69" i="21"/>
  <c r="E106" i="21" s="1"/>
  <c r="D69" i="21"/>
  <c r="C69" i="21"/>
  <c r="C106" i="21" s="1"/>
  <c r="B69" i="21"/>
  <c r="B106" i="21" s="1"/>
  <c r="H67" i="21"/>
  <c r="G67" i="21"/>
  <c r="F67" i="21"/>
  <c r="E67" i="21"/>
  <c r="C67" i="21"/>
  <c r="C104" i="21" s="1"/>
  <c r="B67" i="21"/>
  <c r="H66" i="21"/>
  <c r="H103" i="21" s="1"/>
  <c r="G66" i="21"/>
  <c r="G103" i="21" s="1"/>
  <c r="F66" i="21"/>
  <c r="E66" i="21"/>
  <c r="E103" i="21" s="1"/>
  <c r="C66" i="21"/>
  <c r="C103" i="21" s="1"/>
  <c r="B66" i="21"/>
  <c r="B103" i="21" s="1"/>
  <c r="H64" i="21"/>
  <c r="H101" i="21" s="1"/>
  <c r="G64" i="21"/>
  <c r="G101" i="21" s="1"/>
  <c r="F64" i="21"/>
  <c r="F101" i="21" s="1"/>
  <c r="E64" i="21"/>
  <c r="C64" i="21"/>
  <c r="C101" i="21" s="1"/>
  <c r="B64" i="21"/>
  <c r="B101" i="21" s="1"/>
  <c r="H63" i="21"/>
  <c r="H100" i="21" s="1"/>
  <c r="G63" i="21"/>
  <c r="G100" i="21" s="1"/>
  <c r="F63" i="21"/>
  <c r="F100" i="21" s="1"/>
  <c r="E63" i="21"/>
  <c r="E100" i="21" s="1"/>
  <c r="D63" i="21"/>
  <c r="D100" i="21" s="1"/>
  <c r="C63" i="21"/>
  <c r="C100" i="21" s="1"/>
  <c r="B63" i="21"/>
  <c r="B100" i="21" s="1"/>
  <c r="H61" i="21"/>
  <c r="H98" i="21" s="1"/>
  <c r="G61" i="21"/>
  <c r="G98" i="21" s="1"/>
  <c r="F61" i="21"/>
  <c r="F98" i="21" s="1"/>
  <c r="E61" i="21"/>
  <c r="E98" i="21" s="1"/>
  <c r="C61" i="21"/>
  <c r="B61" i="21"/>
  <c r="B98" i="21" s="1"/>
  <c r="H60" i="21"/>
  <c r="H97" i="21" s="1"/>
  <c r="G60" i="21"/>
  <c r="F60" i="21"/>
  <c r="F97" i="21" s="1"/>
  <c r="E60" i="21"/>
  <c r="E97" i="21" s="1"/>
  <c r="C60" i="21"/>
  <c r="B60" i="21"/>
  <c r="B97" i="21" s="1"/>
  <c r="H55" i="21"/>
  <c r="H92" i="21" s="1"/>
  <c r="G55" i="21"/>
  <c r="G92" i="21" s="1"/>
  <c r="F55" i="21"/>
  <c r="F92" i="21" s="1"/>
  <c r="E55" i="21"/>
  <c r="E92" i="21" s="1"/>
  <c r="C55" i="21"/>
  <c r="C92" i="21" s="1"/>
  <c r="B55" i="21"/>
  <c r="B92" i="21" s="1"/>
  <c r="H54" i="21"/>
  <c r="H91" i="21" s="1"/>
  <c r="G54" i="21"/>
  <c r="G91" i="21" s="1"/>
  <c r="F54" i="21"/>
  <c r="E54" i="21"/>
  <c r="E91" i="21" s="1"/>
  <c r="C54" i="21"/>
  <c r="C91" i="21" s="1"/>
  <c r="B54" i="21"/>
  <c r="B91" i="21" s="1"/>
  <c r="H53" i="21"/>
  <c r="H90" i="21" s="1"/>
  <c r="G53" i="21"/>
  <c r="G90" i="21" s="1"/>
  <c r="F53" i="21"/>
  <c r="F90" i="21" s="1"/>
  <c r="E53" i="21"/>
  <c r="E90" i="21" s="1"/>
  <c r="C53" i="21"/>
  <c r="C90" i="21" s="1"/>
  <c r="B53" i="21"/>
  <c r="B90" i="21" s="1"/>
  <c r="H51" i="21"/>
  <c r="G51" i="21"/>
  <c r="G88" i="21" s="1"/>
  <c r="F51" i="21"/>
  <c r="F88" i="21" s="1"/>
  <c r="E51" i="21"/>
  <c r="E88" i="21" s="1"/>
  <c r="C51" i="21"/>
  <c r="B51" i="21"/>
  <c r="H50" i="21"/>
  <c r="H87" i="21" s="1"/>
  <c r="G50" i="21"/>
  <c r="G87" i="21" s="1"/>
  <c r="F50" i="21"/>
  <c r="F87" i="21" s="1"/>
  <c r="E50" i="21"/>
  <c r="E87" i="21" s="1"/>
  <c r="C50" i="21"/>
  <c r="C87" i="21" s="1"/>
  <c r="B50" i="21"/>
  <c r="B87" i="21" s="1"/>
  <c r="D76" i="21"/>
  <c r="D77" i="21" s="1"/>
  <c r="D73" i="21"/>
  <c r="B110" i="21"/>
  <c r="D70" i="21"/>
  <c r="D67" i="21"/>
  <c r="H104" i="21"/>
  <c r="E104" i="21"/>
  <c r="D66" i="21"/>
  <c r="D64" i="21"/>
  <c r="D60" i="21"/>
  <c r="G97" i="21"/>
  <c r="C97" i="21"/>
  <c r="H58" i="21"/>
  <c r="E58" i="21"/>
  <c r="B58" i="21"/>
  <c r="H57" i="21"/>
  <c r="G57" i="21"/>
  <c r="F46" i="21"/>
  <c r="D57" i="21"/>
  <c r="C57" i="21"/>
  <c r="B57" i="21"/>
  <c r="B94" i="21" s="1"/>
  <c r="D55" i="21"/>
  <c r="D54" i="21"/>
  <c r="D53" i="21"/>
  <c r="D51" i="21"/>
  <c r="D50" i="21"/>
  <c r="D87" i="21" s="1"/>
  <c r="B47" i="21"/>
  <c r="H46" i="21"/>
  <c r="E46" i="21"/>
  <c r="E83" i="21" s="1"/>
  <c r="C46" i="21"/>
  <c r="B46" i="21"/>
  <c r="H93" i="10"/>
  <c r="G93" i="10"/>
  <c r="F93" i="10"/>
  <c r="E93" i="10"/>
  <c r="C93" i="10"/>
  <c r="B93" i="10"/>
  <c r="H86" i="10"/>
  <c r="G86" i="10"/>
  <c r="F86" i="10"/>
  <c r="E86" i="10"/>
  <c r="D86" i="10"/>
  <c r="C86" i="10"/>
  <c r="B86" i="10"/>
  <c r="H76" i="10"/>
  <c r="G76" i="10"/>
  <c r="G113" i="10" s="1"/>
  <c r="F76" i="10"/>
  <c r="F113" i="10" s="1"/>
  <c r="E76" i="10"/>
  <c r="E113" i="10" s="1"/>
  <c r="C76" i="10"/>
  <c r="B76" i="10"/>
  <c r="B113" i="10" s="1"/>
  <c r="H75" i="10"/>
  <c r="G75" i="10"/>
  <c r="F75" i="10"/>
  <c r="E75" i="10"/>
  <c r="E112" i="10" s="1"/>
  <c r="C75" i="10"/>
  <c r="C112" i="10" s="1"/>
  <c r="B75" i="10"/>
  <c r="B112" i="10" s="1"/>
  <c r="H73" i="10"/>
  <c r="G73" i="10"/>
  <c r="G110" i="10" s="1"/>
  <c r="F73" i="10"/>
  <c r="F110" i="10" s="1"/>
  <c r="E73" i="10"/>
  <c r="C73" i="10"/>
  <c r="C110" i="10" s="1"/>
  <c r="B73" i="10"/>
  <c r="B110" i="10" s="1"/>
  <c r="H72" i="10"/>
  <c r="H109" i="10" s="1"/>
  <c r="G72" i="10"/>
  <c r="G109" i="10" s="1"/>
  <c r="F72" i="10"/>
  <c r="E72" i="10"/>
  <c r="C72" i="10"/>
  <c r="C109" i="10" s="1"/>
  <c r="B72" i="10"/>
  <c r="B109" i="10" s="1"/>
  <c r="H70" i="10"/>
  <c r="H107" i="10" s="1"/>
  <c r="G70" i="10"/>
  <c r="G107" i="10" s="1"/>
  <c r="F70" i="10"/>
  <c r="F107" i="10" s="1"/>
  <c r="E70" i="10"/>
  <c r="C70" i="10"/>
  <c r="C107" i="10" s="1"/>
  <c r="B70" i="10"/>
  <c r="B107" i="10" s="1"/>
  <c r="H69" i="10"/>
  <c r="H106" i="10" s="1"/>
  <c r="G69" i="10"/>
  <c r="F69" i="10"/>
  <c r="F106" i="10" s="1"/>
  <c r="E69" i="10"/>
  <c r="E106" i="10" s="1"/>
  <c r="C69" i="10"/>
  <c r="B69" i="10"/>
  <c r="H67" i="10"/>
  <c r="H104" i="10" s="1"/>
  <c r="G67" i="10"/>
  <c r="G104" i="10" s="1"/>
  <c r="F67" i="10"/>
  <c r="F104" i="10" s="1"/>
  <c r="E67" i="10"/>
  <c r="C67" i="10"/>
  <c r="B67" i="10"/>
  <c r="B68" i="10" s="1"/>
  <c r="H66" i="10"/>
  <c r="G66" i="10"/>
  <c r="G103" i="10" s="1"/>
  <c r="F66" i="10"/>
  <c r="F103" i="10" s="1"/>
  <c r="E66" i="10"/>
  <c r="E103" i="10" s="1"/>
  <c r="C66" i="10"/>
  <c r="C103" i="10" s="1"/>
  <c r="B66" i="10"/>
  <c r="B103" i="10" s="1"/>
  <c r="H64" i="10"/>
  <c r="H101" i="10" s="1"/>
  <c r="G64" i="10"/>
  <c r="G65" i="10" s="1"/>
  <c r="F64" i="10"/>
  <c r="E64" i="10"/>
  <c r="C64" i="10"/>
  <c r="C101" i="10" s="1"/>
  <c r="B64" i="10"/>
  <c r="B101" i="10" s="1"/>
  <c r="H63" i="10"/>
  <c r="H100" i="10" s="1"/>
  <c r="G63" i="10"/>
  <c r="G100" i="10" s="1"/>
  <c r="F63" i="10"/>
  <c r="F100" i="10" s="1"/>
  <c r="E63" i="10"/>
  <c r="C63" i="10"/>
  <c r="C100" i="10" s="1"/>
  <c r="B63" i="10"/>
  <c r="B100" i="10" s="1"/>
  <c r="H61" i="10"/>
  <c r="H98" i="10" s="1"/>
  <c r="G61" i="10"/>
  <c r="F61" i="10"/>
  <c r="F98" i="10" s="1"/>
  <c r="E61" i="10"/>
  <c r="C61" i="10"/>
  <c r="B61" i="10"/>
  <c r="B98" i="10" s="1"/>
  <c r="H60" i="10"/>
  <c r="H97" i="10" s="1"/>
  <c r="G60" i="10"/>
  <c r="G97" i="10" s="1"/>
  <c r="F60" i="10"/>
  <c r="F97" i="10" s="1"/>
  <c r="E60" i="10"/>
  <c r="C60" i="10"/>
  <c r="C97" i="10" s="1"/>
  <c r="B60" i="10"/>
  <c r="B97" i="10" s="1"/>
  <c r="H55" i="10"/>
  <c r="G55" i="10"/>
  <c r="G92" i="10" s="1"/>
  <c r="F55" i="10"/>
  <c r="F92" i="10" s="1"/>
  <c r="E55" i="10"/>
  <c r="E92" i="10" s="1"/>
  <c r="C55" i="10"/>
  <c r="C92" i="10" s="1"/>
  <c r="B55" i="10"/>
  <c r="B92" i="10" s="1"/>
  <c r="H54" i="10"/>
  <c r="H91" i="10" s="1"/>
  <c r="G54" i="10"/>
  <c r="G91" i="10" s="1"/>
  <c r="F54" i="10"/>
  <c r="F91" i="10" s="1"/>
  <c r="E54" i="10"/>
  <c r="E91" i="10" s="1"/>
  <c r="C54" i="10"/>
  <c r="C91" i="10" s="1"/>
  <c r="B54" i="10"/>
  <c r="B91" i="10" s="1"/>
  <c r="H53" i="10"/>
  <c r="H90" i="10" s="1"/>
  <c r="G53" i="10"/>
  <c r="G90" i="10" s="1"/>
  <c r="F53" i="10"/>
  <c r="F90" i="10" s="1"/>
  <c r="E53" i="10"/>
  <c r="C53" i="10"/>
  <c r="C90" i="10" s="1"/>
  <c r="B53" i="10"/>
  <c r="B90" i="10" s="1"/>
  <c r="H51" i="10"/>
  <c r="H88" i="10" s="1"/>
  <c r="G51" i="10"/>
  <c r="G88" i="10" s="1"/>
  <c r="F51" i="10"/>
  <c r="F88" i="10" s="1"/>
  <c r="E51" i="10"/>
  <c r="E88" i="10" s="1"/>
  <c r="C51" i="10"/>
  <c r="C88" i="10" s="1"/>
  <c r="B51" i="10"/>
  <c r="B88" i="10" s="1"/>
  <c r="H50" i="10"/>
  <c r="G50" i="10"/>
  <c r="G87" i="10" s="1"/>
  <c r="F50" i="10"/>
  <c r="F87" i="10" s="1"/>
  <c r="E50" i="10"/>
  <c r="E87" i="10" s="1"/>
  <c r="C50" i="10"/>
  <c r="C87" i="10" s="1"/>
  <c r="B50" i="10"/>
  <c r="B87" i="10" s="1"/>
  <c r="D76" i="10"/>
  <c r="D75" i="10"/>
  <c r="G112" i="10"/>
  <c r="F112" i="10"/>
  <c r="D73" i="10"/>
  <c r="D72" i="10"/>
  <c r="D70" i="10"/>
  <c r="D69" i="10"/>
  <c r="D67" i="10"/>
  <c r="E104" i="10"/>
  <c r="C104" i="10"/>
  <c r="D66" i="10"/>
  <c r="D64" i="10"/>
  <c r="D63" i="10"/>
  <c r="D61" i="10"/>
  <c r="E98" i="10"/>
  <c r="G58" i="10"/>
  <c r="G95" i="10" s="1"/>
  <c r="F58" i="10"/>
  <c r="F95" i="10" s="1"/>
  <c r="E58" i="10"/>
  <c r="C58" i="10"/>
  <c r="C95" i="10" s="1"/>
  <c r="B58" i="10"/>
  <c r="E57" i="10"/>
  <c r="E94" i="10" s="1"/>
  <c r="B57" i="10"/>
  <c r="D93" i="10"/>
  <c r="D55" i="10"/>
  <c r="D92" i="10" s="1"/>
  <c r="H92" i="10"/>
  <c r="D54" i="10"/>
  <c r="D91" i="10" s="1"/>
  <c r="D53" i="10"/>
  <c r="D50" i="10"/>
  <c r="D87" i="10" s="1"/>
  <c r="H87" i="10"/>
  <c r="B47" i="10"/>
  <c r="E46" i="10"/>
  <c r="B46" i="10"/>
  <c r="H93" i="3"/>
  <c r="G93" i="3"/>
  <c r="F93" i="3"/>
  <c r="E93" i="3"/>
  <c r="D93" i="3"/>
  <c r="C93" i="3"/>
  <c r="B93" i="3"/>
  <c r="H86" i="3"/>
  <c r="G86" i="3"/>
  <c r="F86" i="3"/>
  <c r="E86" i="3"/>
  <c r="D86" i="3"/>
  <c r="C86" i="3"/>
  <c r="B86" i="3"/>
  <c r="H76" i="3"/>
  <c r="G76" i="3"/>
  <c r="F76" i="3"/>
  <c r="F113" i="3" s="1"/>
  <c r="E76" i="3"/>
  <c r="E113" i="3" s="1"/>
  <c r="C76" i="3"/>
  <c r="B76" i="3"/>
  <c r="H75" i="3"/>
  <c r="H112" i="3" s="1"/>
  <c r="G75" i="3"/>
  <c r="G112" i="3" s="1"/>
  <c r="F75" i="3"/>
  <c r="F112" i="3" s="1"/>
  <c r="E75" i="3"/>
  <c r="E112" i="3" s="1"/>
  <c r="C75" i="3"/>
  <c r="C112" i="3" s="1"/>
  <c r="B75" i="3"/>
  <c r="B112" i="3" s="1"/>
  <c r="H73" i="3"/>
  <c r="G73" i="3"/>
  <c r="F73" i="3"/>
  <c r="E73" i="3"/>
  <c r="C73" i="3"/>
  <c r="B73" i="3"/>
  <c r="H72" i="3"/>
  <c r="H109" i="3" s="1"/>
  <c r="G72" i="3"/>
  <c r="G109" i="3" s="1"/>
  <c r="F72" i="3"/>
  <c r="F109" i="3" s="1"/>
  <c r="E72" i="3"/>
  <c r="C72" i="3"/>
  <c r="C109" i="3" s="1"/>
  <c r="B72" i="3"/>
  <c r="B109" i="3" s="1"/>
  <c r="H70" i="3"/>
  <c r="H107" i="3" s="1"/>
  <c r="G70" i="3"/>
  <c r="G107" i="3" s="1"/>
  <c r="F70" i="3"/>
  <c r="F107" i="3" s="1"/>
  <c r="E70" i="3"/>
  <c r="E107" i="3" s="1"/>
  <c r="D70" i="3"/>
  <c r="D107" i="3" s="1"/>
  <c r="C70" i="3"/>
  <c r="B70" i="3"/>
  <c r="H69" i="3"/>
  <c r="H106" i="3" s="1"/>
  <c r="G69" i="3"/>
  <c r="G106" i="3" s="1"/>
  <c r="F69" i="3"/>
  <c r="F106" i="3" s="1"/>
  <c r="E69" i="3"/>
  <c r="E106" i="3" s="1"/>
  <c r="C69" i="3"/>
  <c r="C106" i="3" s="1"/>
  <c r="B69" i="3"/>
  <c r="B106" i="3" s="1"/>
  <c r="H67" i="3"/>
  <c r="G67" i="3"/>
  <c r="F67" i="3"/>
  <c r="F104" i="3" s="1"/>
  <c r="E67" i="3"/>
  <c r="E104" i="3" s="1"/>
  <c r="C67" i="3"/>
  <c r="C104" i="3" s="1"/>
  <c r="B67" i="3"/>
  <c r="B104" i="3" s="1"/>
  <c r="H66" i="3"/>
  <c r="H103" i="3" s="1"/>
  <c r="G66" i="3"/>
  <c r="G103" i="3" s="1"/>
  <c r="F66" i="3"/>
  <c r="E66" i="3"/>
  <c r="E103" i="3" s="1"/>
  <c r="C66" i="3"/>
  <c r="C103" i="3" s="1"/>
  <c r="B66" i="3"/>
  <c r="H64" i="3"/>
  <c r="G64" i="3"/>
  <c r="F64" i="3"/>
  <c r="E64" i="3"/>
  <c r="C64" i="3"/>
  <c r="B64" i="3"/>
  <c r="H63" i="3"/>
  <c r="H100" i="3" s="1"/>
  <c r="G63" i="3"/>
  <c r="G100" i="3" s="1"/>
  <c r="F63" i="3"/>
  <c r="F100" i="3" s="1"/>
  <c r="E63" i="3"/>
  <c r="E100" i="3" s="1"/>
  <c r="C63" i="3"/>
  <c r="C100" i="3" s="1"/>
  <c r="B63" i="3"/>
  <c r="B100" i="3" s="1"/>
  <c r="H61" i="3"/>
  <c r="G61" i="3"/>
  <c r="F61" i="3"/>
  <c r="F98" i="3" s="1"/>
  <c r="E61" i="3"/>
  <c r="E98" i="3" s="1"/>
  <c r="C61" i="3"/>
  <c r="C98" i="3" s="1"/>
  <c r="B61" i="3"/>
  <c r="B98" i="3" s="1"/>
  <c r="H60" i="3"/>
  <c r="H97" i="3" s="1"/>
  <c r="G60" i="3"/>
  <c r="G97" i="3" s="1"/>
  <c r="F60" i="3"/>
  <c r="E60" i="3"/>
  <c r="E97" i="3" s="1"/>
  <c r="C60" i="3"/>
  <c r="C97" i="3" s="1"/>
  <c r="B60" i="3"/>
  <c r="B97" i="3" s="1"/>
  <c r="H55" i="3"/>
  <c r="H92" i="3" s="1"/>
  <c r="G55" i="3"/>
  <c r="G92" i="3" s="1"/>
  <c r="F55" i="3"/>
  <c r="F92" i="3" s="1"/>
  <c r="E55" i="3"/>
  <c r="C55" i="3"/>
  <c r="B55" i="3"/>
  <c r="B92" i="3" s="1"/>
  <c r="H54" i="3"/>
  <c r="H91" i="3" s="1"/>
  <c r="G54" i="3"/>
  <c r="G91" i="3" s="1"/>
  <c r="F54" i="3"/>
  <c r="E54" i="3"/>
  <c r="C54" i="3"/>
  <c r="C91" i="3" s="1"/>
  <c r="B54" i="3"/>
  <c r="B91" i="3" s="1"/>
  <c r="H53" i="3"/>
  <c r="G53" i="3"/>
  <c r="G90" i="3" s="1"/>
  <c r="F53" i="3"/>
  <c r="F90" i="3" s="1"/>
  <c r="E53" i="3"/>
  <c r="D53" i="3"/>
  <c r="D90" i="3" s="1"/>
  <c r="C53" i="3"/>
  <c r="C90" i="3" s="1"/>
  <c r="B53" i="3"/>
  <c r="B90" i="3" s="1"/>
  <c r="H51" i="3"/>
  <c r="G51" i="3"/>
  <c r="F51" i="3"/>
  <c r="F88" i="3" s="1"/>
  <c r="E51" i="3"/>
  <c r="E88" i="3" s="1"/>
  <c r="D51" i="3"/>
  <c r="C51" i="3"/>
  <c r="B51" i="3"/>
  <c r="H50" i="3"/>
  <c r="H87" i="3" s="1"/>
  <c r="G50" i="3"/>
  <c r="G87" i="3" s="1"/>
  <c r="F50" i="3"/>
  <c r="E50" i="3"/>
  <c r="E87" i="3" s="1"/>
  <c r="D50" i="3"/>
  <c r="D87" i="3" s="1"/>
  <c r="C50" i="3"/>
  <c r="C87" i="3" s="1"/>
  <c r="B50" i="3"/>
  <c r="B87" i="3" s="1"/>
  <c r="D76" i="3"/>
  <c r="G113" i="3"/>
  <c r="D73" i="3"/>
  <c r="E109" i="3"/>
  <c r="C107" i="3"/>
  <c r="D69" i="3"/>
  <c r="D67" i="3"/>
  <c r="H104" i="3"/>
  <c r="D66" i="3"/>
  <c r="F103" i="3"/>
  <c r="B103" i="3"/>
  <c r="C101" i="3"/>
  <c r="H98" i="3"/>
  <c r="D60" i="3"/>
  <c r="D97" i="3" s="1"/>
  <c r="F97" i="3"/>
  <c r="H58" i="3"/>
  <c r="G58" i="3"/>
  <c r="E58" i="3"/>
  <c r="E95" i="3" s="1"/>
  <c r="C58" i="3"/>
  <c r="B58" i="3"/>
  <c r="H57" i="3"/>
  <c r="H94" i="3" s="1"/>
  <c r="F57" i="3"/>
  <c r="E57" i="3"/>
  <c r="D57" i="3"/>
  <c r="C57" i="3"/>
  <c r="C94" i="3" s="1"/>
  <c r="B57" i="3"/>
  <c r="D55" i="3"/>
  <c r="D92" i="3" s="1"/>
  <c r="C92" i="3"/>
  <c r="D54" i="3"/>
  <c r="D91" i="3" s="1"/>
  <c r="F91" i="3"/>
  <c r="H90" i="3"/>
  <c r="C88" i="3"/>
  <c r="F87" i="3"/>
  <c r="G47" i="3"/>
  <c r="G84" i="3" s="1"/>
  <c r="C47" i="3"/>
  <c r="H46" i="3"/>
  <c r="G46" i="3"/>
  <c r="G83" i="3" s="1"/>
  <c r="F46" i="3"/>
  <c r="F83" i="3" s="1"/>
  <c r="E46" i="3"/>
  <c r="D46" i="3"/>
  <c r="C46" i="3"/>
  <c r="B46" i="3"/>
  <c r="H93" i="9"/>
  <c r="G93" i="9"/>
  <c r="F93" i="9"/>
  <c r="E93" i="9"/>
  <c r="D93" i="9"/>
  <c r="C93" i="9"/>
  <c r="B93" i="9"/>
  <c r="H86" i="9"/>
  <c r="G86" i="9"/>
  <c r="F86" i="9"/>
  <c r="E86" i="9"/>
  <c r="D86" i="9"/>
  <c r="C86" i="9"/>
  <c r="B86" i="9"/>
  <c r="H76" i="9"/>
  <c r="G76" i="9"/>
  <c r="G113" i="9" s="1"/>
  <c r="F76" i="9"/>
  <c r="F113" i="9" s="1"/>
  <c r="E76" i="9"/>
  <c r="C76" i="9"/>
  <c r="B76" i="9"/>
  <c r="H73" i="9"/>
  <c r="H110" i="9" s="1"/>
  <c r="G73" i="9"/>
  <c r="F73" i="9"/>
  <c r="E73" i="9"/>
  <c r="E110" i="9" s="1"/>
  <c r="C73" i="9"/>
  <c r="B73" i="9"/>
  <c r="E72" i="9"/>
  <c r="H70" i="9"/>
  <c r="G70" i="9"/>
  <c r="G107" i="9" s="1"/>
  <c r="F70" i="9"/>
  <c r="F107" i="9" s="1"/>
  <c r="E70" i="9"/>
  <c r="E107" i="9" s="1"/>
  <c r="D70" i="9"/>
  <c r="D107" i="9" s="1"/>
  <c r="C70" i="9"/>
  <c r="C107" i="9" s="1"/>
  <c r="B70" i="9"/>
  <c r="B107" i="9" s="1"/>
  <c r="H69" i="9"/>
  <c r="H106" i="9" s="1"/>
  <c r="G69" i="9"/>
  <c r="G106" i="9" s="1"/>
  <c r="F69" i="9"/>
  <c r="F106" i="9" s="1"/>
  <c r="E69" i="9"/>
  <c r="E106" i="9" s="1"/>
  <c r="C69" i="9"/>
  <c r="C106" i="9" s="1"/>
  <c r="B69" i="9"/>
  <c r="H67" i="9"/>
  <c r="G67" i="9"/>
  <c r="F67" i="9"/>
  <c r="E67" i="9"/>
  <c r="C67" i="9"/>
  <c r="B67" i="9"/>
  <c r="H64" i="9"/>
  <c r="G64" i="9"/>
  <c r="F64" i="9"/>
  <c r="E64" i="9"/>
  <c r="C64" i="9"/>
  <c r="B64" i="9"/>
  <c r="H61" i="9"/>
  <c r="G61" i="9"/>
  <c r="F61" i="9"/>
  <c r="E61" i="9"/>
  <c r="C61" i="9"/>
  <c r="B61" i="9"/>
  <c r="H55" i="9"/>
  <c r="H92" i="9" s="1"/>
  <c r="G55" i="9"/>
  <c r="G92" i="9" s="1"/>
  <c r="F55" i="9"/>
  <c r="F92" i="9" s="1"/>
  <c r="E55" i="9"/>
  <c r="E92" i="9" s="1"/>
  <c r="D55" i="9"/>
  <c r="D92" i="9" s="1"/>
  <c r="C55" i="9"/>
  <c r="C92" i="9" s="1"/>
  <c r="B55" i="9"/>
  <c r="B92" i="9" s="1"/>
  <c r="H54" i="9"/>
  <c r="H91" i="9" s="1"/>
  <c r="G54" i="9"/>
  <c r="G91" i="9" s="1"/>
  <c r="F54" i="9"/>
  <c r="F91" i="9" s="1"/>
  <c r="E54" i="9"/>
  <c r="E91" i="9" s="1"/>
  <c r="C54" i="9"/>
  <c r="C91" i="9" s="1"/>
  <c r="B54" i="9"/>
  <c r="B91" i="9" s="1"/>
  <c r="H53" i="9"/>
  <c r="H90" i="9" s="1"/>
  <c r="G53" i="9"/>
  <c r="G90" i="9" s="1"/>
  <c r="F53" i="9"/>
  <c r="F90" i="9" s="1"/>
  <c r="E53" i="9"/>
  <c r="E90" i="9" s="1"/>
  <c r="C53" i="9"/>
  <c r="C90" i="9" s="1"/>
  <c r="B53" i="9"/>
  <c r="B90" i="9" s="1"/>
  <c r="H51" i="9"/>
  <c r="G51" i="9"/>
  <c r="G88" i="9" s="1"/>
  <c r="F51" i="9"/>
  <c r="E51" i="9"/>
  <c r="C51" i="9"/>
  <c r="C88" i="9" s="1"/>
  <c r="B51" i="9"/>
  <c r="F75" i="9"/>
  <c r="E75" i="9"/>
  <c r="C75" i="9"/>
  <c r="B72" i="9"/>
  <c r="H72" i="9"/>
  <c r="G72" i="9"/>
  <c r="F72" i="9"/>
  <c r="C72" i="9"/>
  <c r="H107" i="9"/>
  <c r="D69" i="9"/>
  <c r="D106" i="9" s="1"/>
  <c r="F66" i="9"/>
  <c r="B66" i="9"/>
  <c r="H63" i="9"/>
  <c r="C63" i="9"/>
  <c r="G60" i="9"/>
  <c r="F60" i="9"/>
  <c r="C60" i="9"/>
  <c r="F58" i="9"/>
  <c r="D54" i="9"/>
  <c r="D91" i="9" s="1"/>
  <c r="G50" i="9"/>
  <c r="F50" i="9"/>
  <c r="F87" i="9" s="1"/>
  <c r="C50" i="9"/>
  <c r="B50" i="9"/>
  <c r="B87" i="9" s="1"/>
  <c r="H93" i="7"/>
  <c r="G93" i="7"/>
  <c r="F93" i="7"/>
  <c r="E93" i="7"/>
  <c r="D93" i="7"/>
  <c r="C93" i="7"/>
  <c r="B93" i="7"/>
  <c r="H86" i="7"/>
  <c r="G86" i="7"/>
  <c r="F86" i="7"/>
  <c r="E86" i="7"/>
  <c r="D86" i="7"/>
  <c r="C86" i="7"/>
  <c r="B86" i="7"/>
  <c r="H76" i="7"/>
  <c r="H113" i="7" s="1"/>
  <c r="G76" i="7"/>
  <c r="F76" i="7"/>
  <c r="F113" i="7" s="1"/>
  <c r="E76" i="7"/>
  <c r="E113" i="7" s="1"/>
  <c r="C76" i="7"/>
  <c r="C113" i="7" s="1"/>
  <c r="B76" i="7"/>
  <c r="H75" i="7"/>
  <c r="G75" i="7"/>
  <c r="G112" i="7" s="1"/>
  <c r="F75" i="7"/>
  <c r="F112" i="7" s="1"/>
  <c r="E75" i="7"/>
  <c r="E112" i="7" s="1"/>
  <c r="C75" i="7"/>
  <c r="C112" i="7" s="1"/>
  <c r="B75" i="7"/>
  <c r="B112" i="7" s="1"/>
  <c r="H73" i="7"/>
  <c r="H110" i="7" s="1"/>
  <c r="G73" i="7"/>
  <c r="G110" i="7" s="1"/>
  <c r="F73" i="7"/>
  <c r="E73" i="7"/>
  <c r="E110" i="7" s="1"/>
  <c r="C73" i="7"/>
  <c r="C110" i="7" s="1"/>
  <c r="B73" i="7"/>
  <c r="B110" i="7" s="1"/>
  <c r="H72" i="7"/>
  <c r="H109" i="7" s="1"/>
  <c r="G72" i="7"/>
  <c r="G109" i="7" s="1"/>
  <c r="F72" i="7"/>
  <c r="F109" i="7" s="1"/>
  <c r="E72" i="7"/>
  <c r="C72" i="7"/>
  <c r="C109" i="7" s="1"/>
  <c r="B72" i="7"/>
  <c r="B109" i="7" s="1"/>
  <c r="H70" i="7"/>
  <c r="H107" i="7" s="1"/>
  <c r="G70" i="7"/>
  <c r="F70" i="7"/>
  <c r="E70" i="7"/>
  <c r="C70" i="7"/>
  <c r="C107" i="7" s="1"/>
  <c r="B70" i="7"/>
  <c r="H69" i="7"/>
  <c r="H106" i="7" s="1"/>
  <c r="G69" i="7"/>
  <c r="G106" i="7" s="1"/>
  <c r="F69" i="7"/>
  <c r="E69" i="7"/>
  <c r="C69" i="7"/>
  <c r="C106" i="7" s="1"/>
  <c r="B69" i="7"/>
  <c r="B106" i="7" s="1"/>
  <c r="H67" i="7"/>
  <c r="G67" i="7"/>
  <c r="F67" i="7"/>
  <c r="F104" i="7" s="1"/>
  <c r="E67" i="7"/>
  <c r="E104" i="7" s="1"/>
  <c r="C67" i="7"/>
  <c r="C104" i="7" s="1"/>
  <c r="B67" i="7"/>
  <c r="H66" i="7"/>
  <c r="H103" i="7" s="1"/>
  <c r="G66" i="7"/>
  <c r="G103" i="7" s="1"/>
  <c r="F66" i="7"/>
  <c r="F103" i="7" s="1"/>
  <c r="E66" i="7"/>
  <c r="E103" i="7" s="1"/>
  <c r="C66" i="7"/>
  <c r="C103" i="7" s="1"/>
  <c r="B66" i="7"/>
  <c r="B103" i="7" s="1"/>
  <c r="H64" i="7"/>
  <c r="G64" i="7"/>
  <c r="F64" i="7"/>
  <c r="F101" i="7" s="1"/>
  <c r="E64" i="7"/>
  <c r="E101" i="7" s="1"/>
  <c r="C64" i="7"/>
  <c r="C101" i="7" s="1"/>
  <c r="B64" i="7"/>
  <c r="B101" i="7" s="1"/>
  <c r="H63" i="7"/>
  <c r="H100" i="7" s="1"/>
  <c r="G63" i="7"/>
  <c r="G100" i="7" s="1"/>
  <c r="F63" i="7"/>
  <c r="E63" i="7"/>
  <c r="E100" i="7" s="1"/>
  <c r="C63" i="7"/>
  <c r="C100" i="7" s="1"/>
  <c r="B63" i="7"/>
  <c r="B100" i="7" s="1"/>
  <c r="H61" i="7"/>
  <c r="G61" i="7"/>
  <c r="G98" i="7" s="1"/>
  <c r="F61" i="7"/>
  <c r="F98" i="7" s="1"/>
  <c r="E61" i="7"/>
  <c r="C61" i="7"/>
  <c r="C98" i="7" s="1"/>
  <c r="B61" i="7"/>
  <c r="H60" i="7"/>
  <c r="G60" i="7"/>
  <c r="G97" i="7" s="1"/>
  <c r="F60" i="7"/>
  <c r="F97" i="7" s="1"/>
  <c r="E60" i="7"/>
  <c r="E97" i="7" s="1"/>
  <c r="C60" i="7"/>
  <c r="B60" i="7"/>
  <c r="B97" i="7" s="1"/>
  <c r="H55" i="7"/>
  <c r="H92" i="7" s="1"/>
  <c r="G55" i="7"/>
  <c r="G92" i="7" s="1"/>
  <c r="F55" i="7"/>
  <c r="F92" i="7" s="1"/>
  <c r="E55" i="7"/>
  <c r="E92" i="7" s="1"/>
  <c r="C55" i="7"/>
  <c r="C92" i="7" s="1"/>
  <c r="B55" i="7"/>
  <c r="B92" i="7" s="1"/>
  <c r="H54" i="7"/>
  <c r="H91" i="7" s="1"/>
  <c r="G54" i="7"/>
  <c r="G91" i="7" s="1"/>
  <c r="F54" i="7"/>
  <c r="F91" i="7" s="1"/>
  <c r="E54" i="7"/>
  <c r="C54" i="7"/>
  <c r="C91" i="7" s="1"/>
  <c r="B54" i="7"/>
  <c r="B91" i="7" s="1"/>
  <c r="H53" i="7"/>
  <c r="H90" i="7" s="1"/>
  <c r="G53" i="7"/>
  <c r="G90" i="7" s="1"/>
  <c r="F53" i="7"/>
  <c r="F90" i="7" s="1"/>
  <c r="E53" i="7"/>
  <c r="E90" i="7" s="1"/>
  <c r="C53" i="7"/>
  <c r="C90" i="7" s="1"/>
  <c r="B53" i="7"/>
  <c r="B90" i="7" s="1"/>
  <c r="H51" i="7"/>
  <c r="H88" i="7" s="1"/>
  <c r="G51" i="7"/>
  <c r="G88" i="7" s="1"/>
  <c r="F51" i="7"/>
  <c r="E51" i="7"/>
  <c r="E88" i="7" s="1"/>
  <c r="C51" i="7"/>
  <c r="C88" i="7" s="1"/>
  <c r="B51" i="7"/>
  <c r="H50" i="7"/>
  <c r="G50" i="7"/>
  <c r="F50" i="7"/>
  <c r="F87" i="7" s="1"/>
  <c r="E50" i="7"/>
  <c r="E87" i="7" s="1"/>
  <c r="C50" i="7"/>
  <c r="B50" i="7"/>
  <c r="B87" i="7" s="1"/>
  <c r="D76" i="7"/>
  <c r="D73" i="7"/>
  <c r="D72" i="7"/>
  <c r="D70" i="7"/>
  <c r="D69" i="7"/>
  <c r="D106" i="7" s="1"/>
  <c r="D67" i="7"/>
  <c r="D66" i="7"/>
  <c r="D64" i="7"/>
  <c r="D60" i="7"/>
  <c r="H58" i="7"/>
  <c r="G58" i="7"/>
  <c r="E58" i="7"/>
  <c r="E95" i="7" s="1"/>
  <c r="C58" i="7"/>
  <c r="H57" i="7"/>
  <c r="H94" i="7" s="1"/>
  <c r="G57" i="7"/>
  <c r="F57" i="7"/>
  <c r="E57" i="7"/>
  <c r="C57" i="7"/>
  <c r="C94" i="7" s="1"/>
  <c r="B57" i="7"/>
  <c r="D55" i="7"/>
  <c r="D54" i="7"/>
  <c r="D53" i="7"/>
  <c r="D90" i="7" s="1"/>
  <c r="D51" i="7"/>
  <c r="H47" i="7"/>
  <c r="G47" i="7"/>
  <c r="G46" i="7"/>
  <c r="F46" i="7"/>
  <c r="C46" i="7"/>
  <c r="E52" i="13" l="1"/>
  <c r="E89" i="13" s="1"/>
  <c r="G52" i="7"/>
  <c r="G89" i="7" s="1"/>
  <c r="E62" i="10"/>
  <c r="E74" i="10"/>
  <c r="E62" i="20"/>
  <c r="E99" i="20" s="1"/>
  <c r="B62" i="20"/>
  <c r="B99" i="20" s="1"/>
  <c r="B74" i="20"/>
  <c r="B111" i="20" s="1"/>
  <c r="D65" i="21"/>
  <c r="D102" i="21" s="1"/>
  <c r="B68" i="9"/>
  <c r="C52" i="7"/>
  <c r="C89" i="7" s="1"/>
  <c r="D74" i="21"/>
  <c r="H52" i="8"/>
  <c r="H89" i="8" s="1"/>
  <c r="B62" i="7"/>
  <c r="B99" i="7" s="1"/>
  <c r="G65" i="7"/>
  <c r="G102" i="7" s="1"/>
  <c r="B68" i="7"/>
  <c r="B105" i="7" s="1"/>
  <c r="F68" i="21"/>
  <c r="F105" i="21" s="1"/>
  <c r="B48" i="8"/>
  <c r="H77" i="10"/>
  <c r="C65" i="21"/>
  <c r="B71" i="21"/>
  <c r="B108" i="21" s="1"/>
  <c r="G52" i="19"/>
  <c r="G89" i="19" s="1"/>
  <c r="B71" i="9"/>
  <c r="B108" i="9" s="1"/>
  <c r="C65" i="19"/>
  <c r="C102" i="19" s="1"/>
  <c r="F62" i="6"/>
  <c r="F99" i="6" s="1"/>
  <c r="C52" i="9"/>
  <c r="G68" i="21"/>
  <c r="E74" i="21"/>
  <c r="E111" i="21" s="1"/>
  <c r="H77" i="21"/>
  <c r="H114" i="21" s="1"/>
  <c r="G71" i="19"/>
  <c r="G108" i="19" s="1"/>
  <c r="E52" i="6"/>
  <c r="E89" i="6" s="1"/>
  <c r="D74" i="19"/>
  <c r="C62" i="6"/>
  <c r="C99" i="6" s="1"/>
  <c r="B68" i="6"/>
  <c r="B105" i="6" s="1"/>
  <c r="H65" i="19"/>
  <c r="H102" i="19" s="1"/>
  <c r="H77" i="19"/>
  <c r="H114" i="19" s="1"/>
  <c r="D74" i="6"/>
  <c r="D111" i="6" s="1"/>
  <c r="F68" i="2"/>
  <c r="H112" i="19"/>
  <c r="F52" i="7"/>
  <c r="F89" i="7" s="1"/>
  <c r="H62" i="7"/>
  <c r="H99" i="7" s="1"/>
  <c r="G71" i="7"/>
  <c r="G108" i="7" s="1"/>
  <c r="E74" i="5"/>
  <c r="E111" i="5" s="1"/>
  <c r="D74" i="5"/>
  <c r="D111" i="5" s="1"/>
  <c r="G74" i="5"/>
  <c r="G111" i="5" s="1"/>
  <c r="H62" i="6"/>
  <c r="H99" i="6" s="1"/>
  <c r="G68" i="6"/>
  <c r="G105" i="6" s="1"/>
  <c r="B71" i="6"/>
  <c r="B108" i="6" s="1"/>
  <c r="D71" i="21"/>
  <c r="G74" i="21"/>
  <c r="G111" i="21" s="1"/>
  <c r="F59" i="14"/>
  <c r="F96" i="14" s="1"/>
  <c r="H68" i="7"/>
  <c r="H105" i="7" s="1"/>
  <c r="E68" i="19"/>
  <c r="E105" i="19" s="1"/>
  <c r="D77" i="6"/>
  <c r="H97" i="2"/>
  <c r="D65" i="13"/>
  <c r="G52" i="13"/>
  <c r="G65" i="13"/>
  <c r="G102" i="13" s="1"/>
  <c r="E71" i="13"/>
  <c r="E108" i="13" s="1"/>
  <c r="E62" i="13"/>
  <c r="E99" i="13" s="1"/>
  <c r="H65" i="13"/>
  <c r="H102" i="13" s="1"/>
  <c r="F71" i="13"/>
  <c r="F108" i="13" s="1"/>
  <c r="C68" i="28"/>
  <c r="H77" i="28"/>
  <c r="H114" i="28" s="1"/>
  <c r="E65" i="3"/>
  <c r="E102" i="3" s="1"/>
  <c r="B52" i="5"/>
  <c r="B89" i="5" s="1"/>
  <c r="G65" i="5"/>
  <c r="G102" i="5" s="1"/>
  <c r="B68" i="5"/>
  <c r="B105" i="5" s="1"/>
  <c r="E74" i="28"/>
  <c r="E111" i="28" s="1"/>
  <c r="F71" i="8"/>
  <c r="F108" i="8" s="1"/>
  <c r="H62" i="20"/>
  <c r="H99" i="20" s="1"/>
  <c r="C52" i="20"/>
  <c r="C89" i="20" s="1"/>
  <c r="H65" i="20"/>
  <c r="H102" i="20" s="1"/>
  <c r="E65" i="20"/>
  <c r="E102" i="20" s="1"/>
  <c r="B71" i="20"/>
  <c r="B108" i="20" s="1"/>
  <c r="G65" i="20"/>
  <c r="G102" i="20" s="1"/>
  <c r="C98" i="6"/>
  <c r="F88" i="7"/>
  <c r="F71" i="7"/>
  <c r="F108" i="7" s="1"/>
  <c r="C87" i="7"/>
  <c r="H104" i="7"/>
  <c r="C65" i="9"/>
  <c r="C77" i="9"/>
  <c r="H74" i="9"/>
  <c r="G107" i="19"/>
  <c r="D65" i="19"/>
  <c r="B65" i="19"/>
  <c r="B102" i="19" s="1"/>
  <c r="H62" i="19"/>
  <c r="H99" i="19" s="1"/>
  <c r="F106" i="8"/>
  <c r="H65" i="9"/>
  <c r="E74" i="3"/>
  <c r="E111" i="3" s="1"/>
  <c r="D52" i="3"/>
  <c r="D89" i="3" s="1"/>
  <c r="G77" i="7"/>
  <c r="G114" i="7" s="1"/>
  <c r="H98" i="7"/>
  <c r="H52" i="3"/>
  <c r="H89" i="3" s="1"/>
  <c r="C68" i="3"/>
  <c r="C105" i="3" s="1"/>
  <c r="H68" i="3"/>
  <c r="H105" i="3" s="1"/>
  <c r="F52" i="19"/>
  <c r="F89" i="19" s="1"/>
  <c r="D62" i="19"/>
  <c r="C74" i="19"/>
  <c r="C111" i="19" s="1"/>
  <c r="H62" i="13"/>
  <c r="H99" i="13" s="1"/>
  <c r="F68" i="13"/>
  <c r="F105" i="13" s="1"/>
  <c r="H68" i="13"/>
  <c r="H105" i="13" s="1"/>
  <c r="H98" i="13"/>
  <c r="D62" i="13"/>
  <c r="G77" i="13"/>
  <c r="G114" i="13" s="1"/>
  <c r="C65" i="13"/>
  <c r="H104" i="13"/>
  <c r="H74" i="13"/>
  <c r="H111" i="13" s="1"/>
  <c r="F74" i="6"/>
  <c r="F111" i="6" s="1"/>
  <c r="F71" i="20"/>
  <c r="F108" i="20" s="1"/>
  <c r="C59" i="20"/>
  <c r="H68" i="20"/>
  <c r="H105" i="20" s="1"/>
  <c r="H74" i="20"/>
  <c r="H111" i="20" s="1"/>
  <c r="E71" i="20"/>
  <c r="E108" i="20" s="1"/>
  <c r="F65" i="20"/>
  <c r="F102" i="20" s="1"/>
  <c r="H52" i="20"/>
  <c r="H89" i="20" s="1"/>
  <c r="D68" i="8"/>
  <c r="B52" i="8"/>
  <c r="B89" i="8" s="1"/>
  <c r="H65" i="8"/>
  <c r="H102" i="8" s="1"/>
  <c r="C59" i="8"/>
  <c r="H62" i="8"/>
  <c r="H99" i="8" s="1"/>
  <c r="C65" i="8"/>
  <c r="C102" i="8" s="1"/>
  <c r="H68" i="8"/>
  <c r="H105" i="8" s="1"/>
  <c r="C71" i="8"/>
  <c r="C108" i="8" s="1"/>
  <c r="G68" i="8"/>
  <c r="G105" i="8" s="1"/>
  <c r="B71" i="8"/>
  <c r="B108" i="8" s="1"/>
  <c r="H77" i="5"/>
  <c r="H114" i="5" s="1"/>
  <c r="G52" i="5"/>
  <c r="G89" i="5" s="1"/>
  <c r="E65" i="5"/>
  <c r="E102" i="5" s="1"/>
  <c r="B104" i="10"/>
  <c r="B74" i="10"/>
  <c r="B111" i="10" s="1"/>
  <c r="H62" i="5"/>
  <c r="H99" i="5" s="1"/>
  <c r="F65" i="5"/>
  <c r="F102" i="5" s="1"/>
  <c r="C77" i="5"/>
  <c r="C114" i="5" s="1"/>
  <c r="E48" i="5"/>
  <c r="D77" i="5"/>
  <c r="C52" i="5"/>
  <c r="C89" i="5" s="1"/>
  <c r="E62" i="11"/>
  <c r="G62" i="11"/>
  <c r="G99" i="11" s="1"/>
  <c r="E74" i="11"/>
  <c r="E111" i="11" s="1"/>
  <c r="G74" i="11"/>
  <c r="G111" i="11" s="1"/>
  <c r="B62" i="11"/>
  <c r="B99" i="11" s="1"/>
  <c r="H74" i="8"/>
  <c r="H111" i="8" s="1"/>
  <c r="C68" i="8"/>
  <c r="C105" i="8" s="1"/>
  <c r="G59" i="13"/>
  <c r="G96" i="13" s="1"/>
  <c r="C68" i="13"/>
  <c r="C105" i="13" s="1"/>
  <c r="F106" i="13"/>
  <c r="G68" i="13"/>
  <c r="G105" i="13" s="1"/>
  <c r="E74" i="13"/>
  <c r="E111" i="13" s="1"/>
  <c r="H77" i="13"/>
  <c r="H114" i="13" s="1"/>
  <c r="E97" i="13"/>
  <c r="H100" i="13"/>
  <c r="B71" i="13"/>
  <c r="B108" i="13" s="1"/>
  <c r="B68" i="13"/>
  <c r="B105" i="13" s="1"/>
  <c r="C77" i="13"/>
  <c r="C114" i="13" s="1"/>
  <c r="C52" i="28"/>
  <c r="C89" i="28" s="1"/>
  <c r="H62" i="28"/>
  <c r="H99" i="28" s="1"/>
  <c r="C65" i="28"/>
  <c r="C102" i="28" s="1"/>
  <c r="C71" i="28"/>
  <c r="C108" i="28" s="1"/>
  <c r="H74" i="28"/>
  <c r="H111" i="28" s="1"/>
  <c r="C77" i="28"/>
  <c r="C114" i="28" s="1"/>
  <c r="B71" i="28"/>
  <c r="B108" i="28" s="1"/>
  <c r="C103" i="28"/>
  <c r="B106" i="28"/>
  <c r="E109" i="28"/>
  <c r="H112" i="28"/>
  <c r="G65" i="28"/>
  <c r="G102" i="28" s="1"/>
  <c r="G71" i="28"/>
  <c r="G108" i="28" s="1"/>
  <c r="B74" i="28"/>
  <c r="B111" i="28" s="1"/>
  <c r="D65" i="14"/>
  <c r="D102" i="14" s="1"/>
  <c r="E74" i="14"/>
  <c r="E111" i="14" s="1"/>
  <c r="E48" i="14"/>
  <c r="E85" i="14" s="1"/>
  <c r="H77" i="14"/>
  <c r="H114" i="14" s="1"/>
  <c r="F52" i="20"/>
  <c r="F89" i="20" s="1"/>
  <c r="G77" i="20"/>
  <c r="G114" i="20" s="1"/>
  <c r="G59" i="20"/>
  <c r="D68" i="20"/>
  <c r="C68" i="20"/>
  <c r="C105" i="20" s="1"/>
  <c r="C65" i="20"/>
  <c r="C102" i="20" s="1"/>
  <c r="B52" i="20"/>
  <c r="B89" i="20" s="1"/>
  <c r="C77" i="20"/>
  <c r="C114" i="20" s="1"/>
  <c r="B68" i="20"/>
  <c r="B105" i="20" s="1"/>
  <c r="F97" i="6"/>
  <c r="H98" i="6"/>
  <c r="G52" i="6"/>
  <c r="G89" i="6" s="1"/>
  <c r="G104" i="6"/>
  <c r="G77" i="19"/>
  <c r="G114" i="19" s="1"/>
  <c r="H52" i="19"/>
  <c r="H89" i="19" s="1"/>
  <c r="H74" i="19"/>
  <c r="H111" i="19" s="1"/>
  <c r="F71" i="19"/>
  <c r="F108" i="19" s="1"/>
  <c r="H59" i="3"/>
  <c r="H96" i="3" s="1"/>
  <c r="C71" i="7"/>
  <c r="C108" i="7" s="1"/>
  <c r="C77" i="8"/>
  <c r="C114" i="8" s="1"/>
  <c r="G52" i="8"/>
  <c r="G89" i="8" s="1"/>
  <c r="E71" i="8"/>
  <c r="E108" i="8" s="1"/>
  <c r="F65" i="8"/>
  <c r="F102" i="8" s="1"/>
  <c r="B62" i="8"/>
  <c r="B99" i="8" s="1"/>
  <c r="G65" i="8"/>
  <c r="G102" i="8" s="1"/>
  <c r="B68" i="8"/>
  <c r="B105" i="8" s="1"/>
  <c r="G71" i="8"/>
  <c r="G108" i="8" s="1"/>
  <c r="G77" i="8"/>
  <c r="G114" i="8" s="1"/>
  <c r="D71" i="8"/>
  <c r="C52" i="8"/>
  <c r="C89" i="8" s="1"/>
  <c r="F68" i="8"/>
  <c r="F105" i="8" s="1"/>
  <c r="E62" i="8"/>
  <c r="E99" i="8" s="1"/>
  <c r="G74" i="8"/>
  <c r="G111" i="8" s="1"/>
  <c r="E74" i="12"/>
  <c r="E111" i="12" s="1"/>
  <c r="B74" i="3"/>
  <c r="B111" i="3" s="1"/>
  <c r="G77" i="3"/>
  <c r="G114" i="3" s="1"/>
  <c r="G77" i="21"/>
  <c r="G114" i="21" s="1"/>
  <c r="C107" i="28"/>
  <c r="G52" i="28"/>
  <c r="G89" i="28" s="1"/>
  <c r="E65" i="28"/>
  <c r="E102" i="28" s="1"/>
  <c r="E71" i="28"/>
  <c r="E108" i="28" s="1"/>
  <c r="E77" i="28"/>
  <c r="E114" i="28" s="1"/>
  <c r="C87" i="28"/>
  <c r="B68" i="28"/>
  <c r="B105" i="28" s="1"/>
  <c r="G77" i="28"/>
  <c r="G114" i="28" s="1"/>
  <c r="H98" i="28"/>
  <c r="C101" i="28"/>
  <c r="H110" i="28"/>
  <c r="F71" i="28"/>
  <c r="F108" i="28" s="1"/>
  <c r="F68" i="28"/>
  <c r="F105" i="28" s="1"/>
  <c r="E52" i="28"/>
  <c r="E89" i="28" s="1"/>
  <c r="B65" i="28"/>
  <c r="B102" i="28" s="1"/>
  <c r="F71" i="27"/>
  <c r="F108" i="27" s="1"/>
  <c r="H62" i="27"/>
  <c r="C65" i="27"/>
  <c r="C102" i="27" s="1"/>
  <c r="H68" i="27"/>
  <c r="H105" i="27" s="1"/>
  <c r="C71" i="27"/>
  <c r="C108" i="27" s="1"/>
  <c r="H74" i="27"/>
  <c r="H111" i="27" s="1"/>
  <c r="G77" i="10"/>
  <c r="G114" i="10" s="1"/>
  <c r="B62" i="2"/>
  <c r="B104" i="7"/>
  <c r="G113" i="7"/>
  <c r="B98" i="7"/>
  <c r="G87" i="7"/>
  <c r="G107" i="7"/>
  <c r="H110" i="19"/>
  <c r="C68" i="19"/>
  <c r="C105" i="19" s="1"/>
  <c r="E71" i="19"/>
  <c r="E108" i="19" s="1"/>
  <c r="F77" i="19"/>
  <c r="F114" i="19" s="1"/>
  <c r="H59" i="19"/>
  <c r="F107" i="19"/>
  <c r="F65" i="19"/>
  <c r="F102" i="19" s="1"/>
  <c r="C52" i="19"/>
  <c r="C89" i="19" s="1"/>
  <c r="E52" i="19"/>
  <c r="E89" i="19" s="1"/>
  <c r="G65" i="19"/>
  <c r="G102" i="19" s="1"/>
  <c r="E74" i="19"/>
  <c r="E111" i="19" s="1"/>
  <c r="H88" i="19"/>
  <c r="H98" i="19"/>
  <c r="B101" i="19"/>
  <c r="B71" i="19"/>
  <c r="B108" i="19" s="1"/>
  <c r="G87" i="19"/>
  <c r="C101" i="19"/>
  <c r="F62" i="19"/>
  <c r="F99" i="19" s="1"/>
  <c r="B68" i="19"/>
  <c r="B105" i="19" s="1"/>
  <c r="G74" i="19"/>
  <c r="G111" i="19" s="1"/>
  <c r="F71" i="9"/>
  <c r="F108" i="9" s="1"/>
  <c r="B77" i="11"/>
  <c r="B114" i="11" s="1"/>
  <c r="G65" i="11"/>
  <c r="G102" i="11" s="1"/>
  <c r="B68" i="11"/>
  <c r="B105" i="11" s="1"/>
  <c r="B74" i="11"/>
  <c r="B111" i="11" s="1"/>
  <c r="G77" i="11"/>
  <c r="G114" i="11" s="1"/>
  <c r="G52" i="27"/>
  <c r="G89" i="27" s="1"/>
  <c r="E65" i="27"/>
  <c r="E102" i="27" s="1"/>
  <c r="B71" i="27"/>
  <c r="B108" i="27" s="1"/>
  <c r="B52" i="27"/>
  <c r="B89" i="27" s="1"/>
  <c r="C77" i="27"/>
  <c r="C114" i="27" s="1"/>
  <c r="C101" i="27"/>
  <c r="E71" i="27"/>
  <c r="E108" i="27" s="1"/>
  <c r="G77" i="27"/>
  <c r="G114" i="27" s="1"/>
  <c r="H98" i="27"/>
  <c r="H62" i="10"/>
  <c r="H99" i="10" s="1"/>
  <c r="B59" i="21"/>
  <c r="B96" i="21" s="1"/>
  <c r="F104" i="21"/>
  <c r="G113" i="21"/>
  <c r="C59" i="3"/>
  <c r="C96" i="3" s="1"/>
  <c r="F59" i="12"/>
  <c r="F96" i="12" s="1"/>
  <c r="B71" i="12"/>
  <c r="B108" i="12" s="1"/>
  <c r="G68" i="12"/>
  <c r="G105" i="12" s="1"/>
  <c r="C59" i="7"/>
  <c r="G74" i="7"/>
  <c r="G111" i="7" s="1"/>
  <c r="H74" i="7"/>
  <c r="H111" i="7" s="1"/>
  <c r="G48" i="7"/>
  <c r="B71" i="7"/>
  <c r="B108" i="7" s="1"/>
  <c r="G65" i="2"/>
  <c r="G102" i="2" s="1"/>
  <c r="F68" i="6"/>
  <c r="F105" i="6" s="1"/>
  <c r="C71" i="6"/>
  <c r="C108" i="6" s="1"/>
  <c r="H52" i="6"/>
  <c r="H89" i="6" s="1"/>
  <c r="C65" i="6"/>
  <c r="C102" i="6" s="1"/>
  <c r="C77" i="6"/>
  <c r="C114" i="6" s="1"/>
  <c r="F65" i="6"/>
  <c r="F102" i="6" s="1"/>
  <c r="F71" i="6"/>
  <c r="F108" i="6" s="1"/>
  <c r="E62" i="6"/>
  <c r="E99" i="6" s="1"/>
  <c r="H65" i="6"/>
  <c r="H102" i="6" s="1"/>
  <c r="C68" i="6"/>
  <c r="C105" i="6" s="1"/>
  <c r="H71" i="6"/>
  <c r="H108" i="6" s="1"/>
  <c r="E77" i="6"/>
  <c r="E114" i="6" s="1"/>
  <c r="C52" i="6"/>
  <c r="C89" i="6" s="1"/>
  <c r="G71" i="6"/>
  <c r="G108" i="6" s="1"/>
  <c r="B74" i="6"/>
  <c r="B111" i="6" s="1"/>
  <c r="G77" i="6"/>
  <c r="G114" i="6" s="1"/>
  <c r="B65" i="6"/>
  <c r="B102" i="6" s="1"/>
  <c r="E74" i="6"/>
  <c r="E111" i="6" s="1"/>
  <c r="H77" i="6"/>
  <c r="H114" i="6" s="1"/>
  <c r="G48" i="14"/>
  <c r="G85" i="14" s="1"/>
  <c r="G77" i="2"/>
  <c r="G114" i="2" s="1"/>
  <c r="C68" i="2"/>
  <c r="C105" i="2" s="1"/>
  <c r="G62" i="3"/>
  <c r="G99" i="3" s="1"/>
  <c r="G68" i="3"/>
  <c r="G105" i="3" s="1"/>
  <c r="B71" i="3"/>
  <c r="B108" i="3" s="1"/>
  <c r="B62" i="3"/>
  <c r="B99" i="3" s="1"/>
  <c r="B106" i="9"/>
  <c r="E74" i="9"/>
  <c r="E111" i="9" s="1"/>
  <c r="B52" i="7"/>
  <c r="B89" i="7" s="1"/>
  <c r="E68" i="7"/>
  <c r="E105" i="7" s="1"/>
  <c r="F106" i="7"/>
  <c r="F62" i="7"/>
  <c r="F99" i="7" s="1"/>
  <c r="C68" i="7"/>
  <c r="C105" i="7" s="1"/>
  <c r="F68" i="7"/>
  <c r="F105" i="7" s="1"/>
  <c r="E52" i="7"/>
  <c r="E89" i="7" s="1"/>
  <c r="B65" i="7"/>
  <c r="B102" i="7" s="1"/>
  <c r="B77" i="7"/>
  <c r="B114" i="7" s="1"/>
  <c r="C77" i="7"/>
  <c r="C114" i="7" s="1"/>
  <c r="E65" i="7"/>
  <c r="E102" i="7" s="1"/>
  <c r="E71" i="7"/>
  <c r="E108" i="7" s="1"/>
  <c r="D68" i="7"/>
  <c r="C65" i="7"/>
  <c r="C102" i="7" s="1"/>
  <c r="F65" i="7"/>
  <c r="F102" i="7" s="1"/>
  <c r="G52" i="9"/>
  <c r="F68" i="9"/>
  <c r="F105" i="9" s="1"/>
  <c r="F65" i="3"/>
  <c r="C48" i="3"/>
  <c r="C85" i="3" s="1"/>
  <c r="B107" i="3"/>
  <c r="F71" i="3"/>
  <c r="F108" i="3" s="1"/>
  <c r="F77" i="3"/>
  <c r="F114" i="3" s="1"/>
  <c r="G104" i="3"/>
  <c r="G98" i="3"/>
  <c r="C52" i="3"/>
  <c r="C89" i="3" s="1"/>
  <c r="E62" i="3"/>
  <c r="E99" i="3" s="1"/>
  <c r="C74" i="3"/>
  <c r="C111" i="3" s="1"/>
  <c r="H77" i="3"/>
  <c r="H114" i="3" s="1"/>
  <c r="H65" i="3"/>
  <c r="H102" i="3" s="1"/>
  <c r="C62" i="19"/>
  <c r="C99" i="19" s="1"/>
  <c r="E65" i="19"/>
  <c r="E102" i="19" s="1"/>
  <c r="F74" i="19"/>
  <c r="F111" i="19" s="1"/>
  <c r="C77" i="19"/>
  <c r="C114" i="19" s="1"/>
  <c r="E62" i="19"/>
  <c r="E99" i="19" s="1"/>
  <c r="B52" i="19"/>
  <c r="B89" i="19" s="1"/>
  <c r="H71" i="19"/>
  <c r="H108" i="19" s="1"/>
  <c r="B77" i="19"/>
  <c r="B114" i="19" s="1"/>
  <c r="D77" i="19"/>
  <c r="G62" i="19"/>
  <c r="G99" i="19" s="1"/>
  <c r="B74" i="19"/>
  <c r="B111" i="19" s="1"/>
  <c r="D109" i="19"/>
  <c r="D52" i="19"/>
  <c r="D89" i="19" s="1"/>
  <c r="E77" i="19"/>
  <c r="E114" i="19" s="1"/>
  <c r="B59" i="19"/>
  <c r="B62" i="19"/>
  <c r="B99" i="19" s="1"/>
  <c r="C71" i="19"/>
  <c r="C108" i="19" s="1"/>
  <c r="C65" i="10"/>
  <c r="C102" i="10" s="1"/>
  <c r="B48" i="10"/>
  <c r="H52" i="28"/>
  <c r="H89" i="28" s="1"/>
  <c r="B52" i="28"/>
  <c r="B89" i="28" s="1"/>
  <c r="B62" i="28"/>
  <c r="B99" i="28" s="1"/>
  <c r="F65" i="28"/>
  <c r="F102" i="28" s="1"/>
  <c r="H68" i="28"/>
  <c r="H105" i="28" s="1"/>
  <c r="C62" i="28"/>
  <c r="C99" i="28" s="1"/>
  <c r="G68" i="28"/>
  <c r="G105" i="28" s="1"/>
  <c r="F74" i="28"/>
  <c r="F111" i="28" s="1"/>
  <c r="F52" i="28"/>
  <c r="F89" i="28" s="1"/>
  <c r="F62" i="28"/>
  <c r="F99" i="28" s="1"/>
  <c r="E62" i="28"/>
  <c r="E99" i="28" s="1"/>
  <c r="G62" i="28"/>
  <c r="G99" i="28" s="1"/>
  <c r="H65" i="28"/>
  <c r="H102" i="28" s="1"/>
  <c r="C48" i="14"/>
  <c r="C85" i="14" s="1"/>
  <c r="D48" i="14"/>
  <c r="D85" i="14" s="1"/>
  <c r="F77" i="14"/>
  <c r="F114" i="14" s="1"/>
  <c r="G74" i="14"/>
  <c r="G111" i="14" s="1"/>
  <c r="H71" i="14"/>
  <c r="H108" i="14" s="1"/>
  <c r="H52" i="14"/>
  <c r="H89" i="14" s="1"/>
  <c r="E68" i="14"/>
  <c r="E105" i="14" s="1"/>
  <c r="B65" i="14"/>
  <c r="B102" i="14" s="1"/>
  <c r="C62" i="14"/>
  <c r="C99" i="14" s="1"/>
  <c r="D59" i="14"/>
  <c r="D96" i="14" s="1"/>
  <c r="B68" i="2"/>
  <c r="B105" i="2" s="1"/>
  <c r="H65" i="2"/>
  <c r="H102" i="2" s="1"/>
  <c r="F71" i="2"/>
  <c r="F108" i="2" s="1"/>
  <c r="H77" i="2"/>
  <c r="H114" i="2" s="1"/>
  <c r="C59" i="2"/>
  <c r="C96" i="2" s="1"/>
  <c r="B52" i="2"/>
  <c r="B89" i="2" s="1"/>
  <c r="E62" i="2"/>
  <c r="E99" i="2" s="1"/>
  <c r="E74" i="2"/>
  <c r="E111" i="2" s="1"/>
  <c r="E52" i="2"/>
  <c r="E89" i="2" s="1"/>
  <c r="C103" i="2"/>
  <c r="F104" i="2"/>
  <c r="C52" i="2"/>
  <c r="C65" i="2"/>
  <c r="C102" i="2" s="1"/>
  <c r="H68" i="2"/>
  <c r="H105" i="2" s="1"/>
  <c r="H74" i="2"/>
  <c r="H111" i="2" s="1"/>
  <c r="C77" i="2"/>
  <c r="C114" i="2" s="1"/>
  <c r="G52" i="2"/>
  <c r="G89" i="2" s="1"/>
  <c r="E65" i="2"/>
  <c r="E102" i="2" s="1"/>
  <c r="E71" i="2"/>
  <c r="E108" i="2" s="1"/>
  <c r="D52" i="2"/>
  <c r="F59" i="2"/>
  <c r="F96" i="2" s="1"/>
  <c r="C62" i="2"/>
  <c r="C99" i="2" s="1"/>
  <c r="B71" i="2"/>
  <c r="B108" i="2" s="1"/>
  <c r="F74" i="2"/>
  <c r="F111" i="2" s="1"/>
  <c r="C48" i="2"/>
  <c r="C85" i="2" s="1"/>
  <c r="H59" i="2"/>
  <c r="H96" i="2" s="1"/>
  <c r="D74" i="2"/>
  <c r="C71" i="2"/>
  <c r="C108" i="2" s="1"/>
  <c r="G74" i="2"/>
  <c r="G111" i="2" s="1"/>
  <c r="F52" i="2"/>
  <c r="F89" i="2" s="1"/>
  <c r="F62" i="2"/>
  <c r="F99" i="2" s="1"/>
  <c r="B77" i="2"/>
  <c r="B114" i="2" s="1"/>
  <c r="D71" i="2"/>
  <c r="D108" i="2" s="1"/>
  <c r="G62" i="2"/>
  <c r="G99" i="2" s="1"/>
  <c r="H52" i="2"/>
  <c r="H89" i="2" s="1"/>
  <c r="B65" i="2"/>
  <c r="B102" i="2" s="1"/>
  <c r="E68" i="2"/>
  <c r="E105" i="2" s="1"/>
  <c r="G71" i="2"/>
  <c r="G108" i="2" s="1"/>
  <c r="E77" i="2"/>
  <c r="E114" i="2" s="1"/>
  <c r="D68" i="2"/>
  <c r="H71" i="2"/>
  <c r="H108" i="2" s="1"/>
  <c r="B74" i="2"/>
  <c r="B111" i="2" s="1"/>
  <c r="F77" i="2"/>
  <c r="F114" i="2" s="1"/>
  <c r="G68" i="2"/>
  <c r="G105" i="2" s="1"/>
  <c r="C74" i="2"/>
  <c r="C111" i="2" s="1"/>
  <c r="F65" i="2"/>
  <c r="F102" i="2" s="1"/>
  <c r="C62" i="13"/>
  <c r="C99" i="13" s="1"/>
  <c r="E65" i="13"/>
  <c r="E102" i="13" s="1"/>
  <c r="G71" i="13"/>
  <c r="G108" i="13" s="1"/>
  <c r="F65" i="13"/>
  <c r="F102" i="13" s="1"/>
  <c r="H71" i="13"/>
  <c r="H108" i="13" s="1"/>
  <c r="B74" i="13"/>
  <c r="B111" i="13" s="1"/>
  <c r="C74" i="13"/>
  <c r="C111" i="13" s="1"/>
  <c r="E77" i="13"/>
  <c r="E114" i="13" s="1"/>
  <c r="C48" i="13"/>
  <c r="F62" i="13"/>
  <c r="F99" i="13" s="1"/>
  <c r="F77" i="13"/>
  <c r="F114" i="13" s="1"/>
  <c r="B59" i="13"/>
  <c r="G62" i="13"/>
  <c r="G99" i="13" s="1"/>
  <c r="C71" i="13"/>
  <c r="C108" i="13" s="1"/>
  <c r="C59" i="13"/>
  <c r="B65" i="13"/>
  <c r="B102" i="13" s="1"/>
  <c r="D71" i="13"/>
  <c r="F74" i="13"/>
  <c r="F111" i="13" s="1"/>
  <c r="G74" i="13"/>
  <c r="G111" i="13" s="1"/>
  <c r="B62" i="13"/>
  <c r="B99" i="13" s="1"/>
  <c r="E68" i="13"/>
  <c r="E105" i="13" s="1"/>
  <c r="B77" i="13"/>
  <c r="B114" i="13" s="1"/>
  <c r="G52" i="14"/>
  <c r="G89" i="14" s="1"/>
  <c r="H59" i="14"/>
  <c r="H96" i="14" s="1"/>
  <c r="G62" i="14"/>
  <c r="G99" i="14" s="1"/>
  <c r="F65" i="14"/>
  <c r="F102" i="14" s="1"/>
  <c r="B71" i="14"/>
  <c r="B108" i="14" s="1"/>
  <c r="C83" i="14"/>
  <c r="H48" i="14"/>
  <c r="H85" i="14" s="1"/>
  <c r="B52" i="14"/>
  <c r="B89" i="14" s="1"/>
  <c r="D84" i="14"/>
  <c r="F52" i="14"/>
  <c r="F89" i="14" s="1"/>
  <c r="H84" i="14"/>
  <c r="G68" i="14"/>
  <c r="G105" i="14" s="1"/>
  <c r="D71" i="14"/>
  <c r="D108" i="14" s="1"/>
  <c r="C74" i="14"/>
  <c r="C111" i="14" s="1"/>
  <c r="B77" i="14"/>
  <c r="B114" i="14" s="1"/>
  <c r="C88" i="5"/>
  <c r="B62" i="5"/>
  <c r="B99" i="5" s="1"/>
  <c r="B71" i="5"/>
  <c r="B108" i="5" s="1"/>
  <c r="E71" i="5"/>
  <c r="E108" i="5" s="1"/>
  <c r="B77" i="5"/>
  <c r="B114" i="5" s="1"/>
  <c r="C62" i="5"/>
  <c r="C99" i="5" s="1"/>
  <c r="C74" i="5"/>
  <c r="C111" i="5" s="1"/>
  <c r="F62" i="5"/>
  <c r="F99" i="5" s="1"/>
  <c r="F77" i="5"/>
  <c r="F114" i="5" s="1"/>
  <c r="E62" i="5"/>
  <c r="E99" i="5" s="1"/>
  <c r="G62" i="5"/>
  <c r="G99" i="5" s="1"/>
  <c r="B65" i="5"/>
  <c r="B102" i="5" s="1"/>
  <c r="E68" i="5"/>
  <c r="E105" i="5" s="1"/>
  <c r="C65" i="5"/>
  <c r="C102" i="5" s="1"/>
  <c r="F52" i="6"/>
  <c r="F89" i="6" s="1"/>
  <c r="G65" i="6"/>
  <c r="G102" i="6" s="1"/>
  <c r="C74" i="6"/>
  <c r="C111" i="6" s="1"/>
  <c r="D109" i="6"/>
  <c r="G62" i="6"/>
  <c r="G99" i="6" s="1"/>
  <c r="F77" i="6"/>
  <c r="F114" i="6" s="1"/>
  <c r="E71" i="6"/>
  <c r="E108" i="6" s="1"/>
  <c r="D52" i="6"/>
  <c r="E68" i="6"/>
  <c r="E105" i="6" s="1"/>
  <c r="G74" i="6"/>
  <c r="G111" i="6" s="1"/>
  <c r="D71" i="6"/>
  <c r="B52" i="6"/>
  <c r="B89" i="6" s="1"/>
  <c r="B62" i="6"/>
  <c r="B99" i="6" s="1"/>
  <c r="H74" i="6"/>
  <c r="H111" i="6" s="1"/>
  <c r="B77" i="6"/>
  <c r="B114" i="6" s="1"/>
  <c r="E65" i="6"/>
  <c r="E102" i="6" s="1"/>
  <c r="H68" i="6"/>
  <c r="H105" i="6" s="1"/>
  <c r="H71" i="21"/>
  <c r="H108" i="21" s="1"/>
  <c r="C62" i="21"/>
  <c r="C99" i="21" s="1"/>
  <c r="B68" i="21"/>
  <c r="B105" i="21" s="1"/>
  <c r="E48" i="12"/>
  <c r="E85" i="12" s="1"/>
  <c r="H52" i="12"/>
  <c r="H89" i="12" s="1"/>
  <c r="D52" i="12"/>
  <c r="D89" i="12" s="1"/>
  <c r="H48" i="12"/>
  <c r="H85" i="12" s="1"/>
  <c r="C48" i="12"/>
  <c r="C85" i="12" s="1"/>
  <c r="E62" i="12"/>
  <c r="E99" i="12" s="1"/>
  <c r="C65" i="12"/>
  <c r="C102" i="12" s="1"/>
  <c r="G52" i="12"/>
  <c r="G89" i="12" s="1"/>
  <c r="H62" i="12"/>
  <c r="H99" i="12" s="1"/>
  <c r="F65" i="12"/>
  <c r="F102" i="12" s="1"/>
  <c r="B68" i="12"/>
  <c r="B105" i="12" s="1"/>
  <c r="D71" i="12"/>
  <c r="D108" i="12" s="1"/>
  <c r="D74" i="12"/>
  <c r="D111" i="12" s="1"/>
  <c r="H77" i="12"/>
  <c r="H114" i="12" s="1"/>
  <c r="G65" i="12"/>
  <c r="G102" i="12" s="1"/>
  <c r="F68" i="12"/>
  <c r="F105" i="12" s="1"/>
  <c r="E71" i="12"/>
  <c r="E108" i="12" s="1"/>
  <c r="G74" i="12"/>
  <c r="G111" i="12" s="1"/>
  <c r="B77" i="12"/>
  <c r="B114" i="12" s="1"/>
  <c r="H74" i="12"/>
  <c r="H111" i="12" s="1"/>
  <c r="C77" i="12"/>
  <c r="C114" i="12" s="1"/>
  <c r="D65" i="12"/>
  <c r="D102" i="12" s="1"/>
  <c r="G77" i="12"/>
  <c r="G114" i="12" s="1"/>
  <c r="D48" i="12"/>
  <c r="D85" i="12" s="1"/>
  <c r="B59" i="12"/>
  <c r="B96" i="12" s="1"/>
  <c r="G48" i="12"/>
  <c r="G85" i="12" s="1"/>
  <c r="B52" i="12"/>
  <c r="B89" i="12" s="1"/>
  <c r="E59" i="12"/>
  <c r="E96" i="12" s="1"/>
  <c r="C62" i="12"/>
  <c r="C99" i="12" s="1"/>
  <c r="C52" i="12"/>
  <c r="C89" i="12" s="1"/>
  <c r="H59" i="12"/>
  <c r="H96" i="12" s="1"/>
  <c r="D62" i="12"/>
  <c r="D99" i="12" s="1"/>
  <c r="H52" i="27"/>
  <c r="H89" i="27" s="1"/>
  <c r="B62" i="27"/>
  <c r="B99" i="27" s="1"/>
  <c r="G65" i="27"/>
  <c r="G102" i="27" s="1"/>
  <c r="B68" i="27"/>
  <c r="B105" i="27" s="1"/>
  <c r="C68" i="27"/>
  <c r="C105" i="27" s="1"/>
  <c r="F68" i="27"/>
  <c r="F105" i="27" s="1"/>
  <c r="H110" i="27"/>
  <c r="C52" i="27"/>
  <c r="C89" i="27" s="1"/>
  <c r="E62" i="27"/>
  <c r="E99" i="27" s="1"/>
  <c r="E101" i="27"/>
  <c r="F65" i="27"/>
  <c r="F102" i="27" s="1"/>
  <c r="B88" i="20"/>
  <c r="B98" i="20"/>
  <c r="H104" i="20"/>
  <c r="B65" i="20"/>
  <c r="B102" i="20" s="1"/>
  <c r="E68" i="20"/>
  <c r="E105" i="20" s="1"/>
  <c r="G71" i="20"/>
  <c r="G108" i="20" s="1"/>
  <c r="E77" i="20"/>
  <c r="E114" i="20" s="1"/>
  <c r="G52" i="20"/>
  <c r="G89" i="20" s="1"/>
  <c r="D71" i="20"/>
  <c r="B110" i="20"/>
  <c r="C95" i="20"/>
  <c r="E97" i="20"/>
  <c r="C62" i="20"/>
  <c r="C99" i="20" s="1"/>
  <c r="G68" i="20"/>
  <c r="G105" i="20" s="1"/>
  <c r="F74" i="20"/>
  <c r="F111" i="20" s="1"/>
  <c r="C101" i="20"/>
  <c r="C103" i="20"/>
  <c r="F106" i="20"/>
  <c r="E52" i="20"/>
  <c r="E89" i="20" s="1"/>
  <c r="F68" i="20"/>
  <c r="F105" i="20" s="1"/>
  <c r="C71" i="20"/>
  <c r="C108" i="20" s="1"/>
  <c r="E74" i="20"/>
  <c r="E111" i="20" s="1"/>
  <c r="H77" i="20"/>
  <c r="H114" i="20" s="1"/>
  <c r="H87" i="20"/>
  <c r="B59" i="20"/>
  <c r="B96" i="20" s="1"/>
  <c r="E101" i="20"/>
  <c r="F62" i="20"/>
  <c r="F99" i="20" s="1"/>
  <c r="D74" i="20"/>
  <c r="G62" i="20"/>
  <c r="G99" i="20" s="1"/>
  <c r="E74" i="7"/>
  <c r="E111" i="7" s="1"/>
  <c r="H77" i="7"/>
  <c r="H114" i="7" s="1"/>
  <c r="D71" i="7"/>
  <c r="E62" i="7"/>
  <c r="E99" i="7" s="1"/>
  <c r="G62" i="7"/>
  <c r="G99" i="7" s="1"/>
  <c r="H65" i="7"/>
  <c r="H102" i="7" s="1"/>
  <c r="E77" i="7"/>
  <c r="E114" i="7" s="1"/>
  <c r="H71" i="7"/>
  <c r="H108" i="7" s="1"/>
  <c r="B74" i="7"/>
  <c r="B111" i="7" s="1"/>
  <c r="F77" i="7"/>
  <c r="F114" i="7" s="1"/>
  <c r="H52" i="7"/>
  <c r="H89" i="7" s="1"/>
  <c r="C74" i="7"/>
  <c r="C111" i="7" s="1"/>
  <c r="D74" i="7"/>
  <c r="D111" i="7" s="1"/>
  <c r="C62" i="7"/>
  <c r="C99" i="7" s="1"/>
  <c r="G68" i="7"/>
  <c r="G105" i="7" s="1"/>
  <c r="F74" i="7"/>
  <c r="F111" i="7" s="1"/>
  <c r="E52" i="3"/>
  <c r="E89" i="3" s="1"/>
  <c r="C62" i="3"/>
  <c r="C99" i="3" s="1"/>
  <c r="G65" i="3"/>
  <c r="G102" i="3" s="1"/>
  <c r="C71" i="3"/>
  <c r="C108" i="3" s="1"/>
  <c r="E59" i="3"/>
  <c r="E96" i="3" s="1"/>
  <c r="F52" i="3"/>
  <c r="F89" i="3" s="1"/>
  <c r="B68" i="3"/>
  <c r="B105" i="3" s="1"/>
  <c r="F74" i="3"/>
  <c r="F111" i="3" s="1"/>
  <c r="G52" i="3"/>
  <c r="G89" i="3" s="1"/>
  <c r="F62" i="3"/>
  <c r="F99" i="3" s="1"/>
  <c r="E71" i="3"/>
  <c r="E108" i="3" s="1"/>
  <c r="G74" i="3"/>
  <c r="G111" i="3" s="1"/>
  <c r="E68" i="3"/>
  <c r="E105" i="3" s="1"/>
  <c r="H74" i="3"/>
  <c r="H111" i="3" s="1"/>
  <c r="B77" i="3"/>
  <c r="B114" i="3" s="1"/>
  <c r="H62" i="3"/>
  <c r="H99" i="3" s="1"/>
  <c r="B65" i="3"/>
  <c r="B102" i="3" s="1"/>
  <c r="F68" i="3"/>
  <c r="F105" i="3" s="1"/>
  <c r="G71" i="3"/>
  <c r="G108" i="3" s="1"/>
  <c r="C77" i="3"/>
  <c r="C114" i="3" s="1"/>
  <c r="B52" i="3"/>
  <c r="B89" i="3" s="1"/>
  <c r="C65" i="3"/>
  <c r="C102" i="3" s="1"/>
  <c r="H71" i="3"/>
  <c r="H108" i="3" s="1"/>
  <c r="E77" i="3"/>
  <c r="E114" i="3" s="1"/>
  <c r="B59" i="8"/>
  <c r="H104" i="8"/>
  <c r="E65" i="8"/>
  <c r="E102" i="8" s="1"/>
  <c r="C74" i="8"/>
  <c r="C111" i="8" s="1"/>
  <c r="B88" i="8"/>
  <c r="D62" i="8"/>
  <c r="C62" i="8"/>
  <c r="C99" i="8" s="1"/>
  <c r="F74" i="8"/>
  <c r="F111" i="8" s="1"/>
  <c r="E52" i="8"/>
  <c r="E89" i="8" s="1"/>
  <c r="E74" i="8"/>
  <c r="E111" i="8" s="1"/>
  <c r="H77" i="8"/>
  <c r="H114" i="8" s="1"/>
  <c r="B98" i="8"/>
  <c r="F101" i="8"/>
  <c r="F52" i="8"/>
  <c r="F89" i="8" s="1"/>
  <c r="F62" i="8"/>
  <c r="F99" i="8" s="1"/>
  <c r="B77" i="8"/>
  <c r="B114" i="8" s="1"/>
  <c r="G62" i="8"/>
  <c r="G99" i="8" s="1"/>
  <c r="B74" i="8"/>
  <c r="B111" i="8" s="1"/>
  <c r="F77" i="8"/>
  <c r="F114" i="8" s="1"/>
  <c r="B62" i="21"/>
  <c r="B99" i="21" s="1"/>
  <c r="F65" i="21"/>
  <c r="F102" i="21" s="1"/>
  <c r="F74" i="21"/>
  <c r="F111" i="21" s="1"/>
  <c r="G110" i="21"/>
  <c r="B52" i="21"/>
  <c r="B89" i="21" s="1"/>
  <c r="H65" i="21"/>
  <c r="H102" i="21" s="1"/>
  <c r="B77" i="21"/>
  <c r="B114" i="21" s="1"/>
  <c r="C77" i="21"/>
  <c r="C114" i="21" s="1"/>
  <c r="G62" i="21"/>
  <c r="G99" i="21" s="1"/>
  <c r="C98" i="21"/>
  <c r="H62" i="21"/>
  <c r="H99" i="21" s="1"/>
  <c r="B65" i="21"/>
  <c r="B102" i="21" s="1"/>
  <c r="B74" i="21"/>
  <c r="B111" i="21" s="1"/>
  <c r="G52" i="21"/>
  <c r="G89" i="21" s="1"/>
  <c r="B52" i="10"/>
  <c r="B89" i="10" s="1"/>
  <c r="H74" i="10"/>
  <c r="H111" i="10" s="1"/>
  <c r="G52" i="10"/>
  <c r="G89" i="10" s="1"/>
  <c r="E71" i="10"/>
  <c r="E108" i="10" s="1"/>
  <c r="H52" i="10"/>
  <c r="H89" i="10" s="1"/>
  <c r="H71" i="10"/>
  <c r="H108" i="10" s="1"/>
  <c r="B110" i="11"/>
  <c r="C52" i="11"/>
  <c r="C89" i="11" s="1"/>
  <c r="H65" i="11"/>
  <c r="H102" i="11" s="1"/>
  <c r="C68" i="11"/>
  <c r="C105" i="11" s="1"/>
  <c r="F68" i="11"/>
  <c r="F105" i="11" s="1"/>
  <c r="H77" i="11"/>
  <c r="H114" i="11" s="1"/>
  <c r="B98" i="11"/>
  <c r="B113" i="11"/>
  <c r="B104" i="11"/>
  <c r="H65" i="10"/>
  <c r="H102" i="10" s="1"/>
  <c r="C68" i="10"/>
  <c r="C105" i="10" s="1"/>
  <c r="F68" i="10"/>
  <c r="F105" i="10" s="1"/>
  <c r="H112" i="10"/>
  <c r="E65" i="10"/>
  <c r="E102" i="10" s="1"/>
  <c r="B71" i="10"/>
  <c r="B108" i="10" s="1"/>
  <c r="C77" i="10"/>
  <c r="C114" i="10" s="1"/>
  <c r="E97" i="10"/>
  <c r="E59" i="10"/>
  <c r="C52" i="10"/>
  <c r="C89" i="10" s="1"/>
  <c r="H112" i="21"/>
  <c r="C68" i="21"/>
  <c r="C105" i="21" s="1"/>
  <c r="F71" i="21"/>
  <c r="F108" i="21" s="1"/>
  <c r="H74" i="21"/>
  <c r="H111" i="21" s="1"/>
  <c r="D68" i="21"/>
  <c r="H52" i="21"/>
  <c r="H89" i="21" s="1"/>
  <c r="E68" i="21"/>
  <c r="E105" i="21" s="1"/>
  <c r="G71" i="21"/>
  <c r="G108" i="21" s="1"/>
  <c r="C74" i="21"/>
  <c r="C111" i="21" s="1"/>
  <c r="C52" i="21"/>
  <c r="C89" i="21" s="1"/>
  <c r="E65" i="21"/>
  <c r="E102" i="21" s="1"/>
  <c r="C88" i="21"/>
  <c r="F110" i="21"/>
  <c r="E52" i="21"/>
  <c r="E89" i="21" s="1"/>
  <c r="E62" i="21"/>
  <c r="E99" i="21" s="1"/>
  <c r="H68" i="21"/>
  <c r="H105" i="21" s="1"/>
  <c r="F52" i="21"/>
  <c r="F89" i="21" s="1"/>
  <c r="F62" i="21"/>
  <c r="F99" i="21" s="1"/>
  <c r="G65" i="21"/>
  <c r="G102" i="21" s="1"/>
  <c r="F77" i="21"/>
  <c r="F114" i="21" s="1"/>
  <c r="C71" i="21"/>
  <c r="C108" i="21" s="1"/>
  <c r="E71" i="21"/>
  <c r="E108" i="21" s="1"/>
  <c r="F98" i="5"/>
  <c r="F52" i="5"/>
  <c r="F89" i="5" s="1"/>
  <c r="D109" i="5"/>
  <c r="G68" i="5"/>
  <c r="G105" i="5" s="1"/>
  <c r="H68" i="5"/>
  <c r="H105" i="5" s="1"/>
  <c r="D52" i="5"/>
  <c r="B103" i="5"/>
  <c r="H65" i="5"/>
  <c r="H102" i="5" s="1"/>
  <c r="H71" i="5"/>
  <c r="H108" i="5" s="1"/>
  <c r="H74" i="5"/>
  <c r="H111" i="5" s="1"/>
  <c r="G77" i="5"/>
  <c r="G114" i="5" s="1"/>
  <c r="E104" i="5"/>
  <c r="H52" i="5"/>
  <c r="H89" i="5" s="1"/>
  <c r="E77" i="5"/>
  <c r="E114" i="5" s="1"/>
  <c r="F68" i="5"/>
  <c r="F105" i="5" s="1"/>
  <c r="H112" i="5"/>
  <c r="E52" i="5"/>
  <c r="E89" i="5" s="1"/>
  <c r="C68" i="5"/>
  <c r="C105" i="5" s="1"/>
  <c r="E71" i="9"/>
  <c r="E108" i="9" s="1"/>
  <c r="F104" i="11"/>
  <c r="G52" i="11"/>
  <c r="G89" i="11" s="1"/>
  <c r="E65" i="11"/>
  <c r="E102" i="11" s="1"/>
  <c r="G68" i="11"/>
  <c r="G105" i="11" s="1"/>
  <c r="B71" i="11"/>
  <c r="B108" i="11" s="1"/>
  <c r="E71" i="11"/>
  <c r="E108" i="11" s="1"/>
  <c r="E77" i="11"/>
  <c r="E114" i="11" s="1"/>
  <c r="C62" i="11"/>
  <c r="C99" i="11" s="1"/>
  <c r="F65" i="11"/>
  <c r="F102" i="11" s="1"/>
  <c r="F71" i="11"/>
  <c r="F108" i="11" s="1"/>
  <c r="H71" i="11"/>
  <c r="H108" i="11" s="1"/>
  <c r="C88" i="11"/>
  <c r="G110" i="11"/>
  <c r="B52" i="11"/>
  <c r="B89" i="11" s="1"/>
  <c r="E68" i="11"/>
  <c r="E105" i="11" s="1"/>
  <c r="C103" i="11"/>
  <c r="H62" i="11"/>
  <c r="H99" i="11" s="1"/>
  <c r="C65" i="11"/>
  <c r="C102" i="11" s="1"/>
  <c r="C71" i="11"/>
  <c r="C108" i="11" s="1"/>
  <c r="H74" i="11"/>
  <c r="H111" i="11" s="1"/>
  <c r="C77" i="11"/>
  <c r="C114" i="11" s="1"/>
  <c r="F52" i="11"/>
  <c r="F89" i="11" s="1"/>
  <c r="H68" i="11"/>
  <c r="H105" i="11" s="1"/>
  <c r="F62" i="11"/>
  <c r="F99" i="11" s="1"/>
  <c r="F74" i="11"/>
  <c r="F111" i="11" s="1"/>
  <c r="D52" i="11"/>
  <c r="D89" i="11" s="1"/>
  <c r="D59" i="11"/>
  <c r="D71" i="11"/>
  <c r="D74" i="11"/>
  <c r="D111" i="11" s="1"/>
  <c r="H52" i="11"/>
  <c r="H89" i="11" s="1"/>
  <c r="B65" i="11"/>
  <c r="B102" i="11" s="1"/>
  <c r="G71" i="11"/>
  <c r="G108" i="11" s="1"/>
  <c r="E52" i="11"/>
  <c r="E89" i="11" s="1"/>
  <c r="C74" i="11"/>
  <c r="C111" i="11" s="1"/>
  <c r="F77" i="11"/>
  <c r="F114" i="11" s="1"/>
  <c r="D76" i="27"/>
  <c r="D113" i="27" s="1"/>
  <c r="H87" i="27"/>
  <c r="D51" i="27"/>
  <c r="D52" i="27" s="1"/>
  <c r="D89" i="27" s="1"/>
  <c r="D53" i="27"/>
  <c r="D90" i="27" s="1"/>
  <c r="C57" i="27"/>
  <c r="C94" i="27" s="1"/>
  <c r="G103" i="27"/>
  <c r="H104" i="27"/>
  <c r="C107" i="27"/>
  <c r="D73" i="27"/>
  <c r="D74" i="27" s="1"/>
  <c r="H71" i="27"/>
  <c r="H108" i="27" s="1"/>
  <c r="B74" i="27"/>
  <c r="B111" i="27" s="1"/>
  <c r="D109" i="27"/>
  <c r="F98" i="27"/>
  <c r="B58" i="27"/>
  <c r="B95" i="27" s="1"/>
  <c r="G98" i="27"/>
  <c r="H100" i="27"/>
  <c r="C62" i="27"/>
  <c r="C99" i="27" s="1"/>
  <c r="G68" i="27"/>
  <c r="G105" i="27" s="1"/>
  <c r="F74" i="27"/>
  <c r="F111" i="27" s="1"/>
  <c r="C47" i="27"/>
  <c r="C58" i="27"/>
  <c r="C59" i="27" s="1"/>
  <c r="E52" i="27"/>
  <c r="E89" i="27" s="1"/>
  <c r="E74" i="27"/>
  <c r="E111" i="27" s="1"/>
  <c r="H77" i="27"/>
  <c r="H114" i="27" s="1"/>
  <c r="E104" i="27"/>
  <c r="F106" i="27"/>
  <c r="F52" i="27"/>
  <c r="F89" i="27" s="1"/>
  <c r="F62" i="27"/>
  <c r="F99" i="27" s="1"/>
  <c r="F109" i="27"/>
  <c r="B113" i="27"/>
  <c r="D91" i="27"/>
  <c r="D60" i="27"/>
  <c r="G62" i="27"/>
  <c r="G99" i="27" s="1"/>
  <c r="H65" i="27"/>
  <c r="H102" i="27" s="1"/>
  <c r="E109" i="27"/>
  <c r="B98" i="27"/>
  <c r="B65" i="27"/>
  <c r="B102" i="27" s="1"/>
  <c r="E68" i="27"/>
  <c r="E105" i="27" s="1"/>
  <c r="G71" i="27"/>
  <c r="G108" i="27" s="1"/>
  <c r="E77" i="27"/>
  <c r="E114" i="27" s="1"/>
  <c r="D100" i="10"/>
  <c r="G102" i="10"/>
  <c r="C62" i="10"/>
  <c r="C99" i="10" s="1"/>
  <c r="G68" i="10"/>
  <c r="G105" i="10" s="1"/>
  <c r="F74" i="10"/>
  <c r="F111" i="10" s="1"/>
  <c r="E101" i="10"/>
  <c r="E52" i="10"/>
  <c r="E89" i="10" s="1"/>
  <c r="F52" i="10"/>
  <c r="F89" i="10" s="1"/>
  <c r="F62" i="10"/>
  <c r="F99" i="10" s="1"/>
  <c r="G62" i="10"/>
  <c r="G99" i="10" s="1"/>
  <c r="D65" i="10"/>
  <c r="D102" i="10" s="1"/>
  <c r="B65" i="10"/>
  <c r="B102" i="10" s="1"/>
  <c r="E68" i="10"/>
  <c r="E105" i="10" s="1"/>
  <c r="E77" i="10"/>
  <c r="E114" i="10" s="1"/>
  <c r="B62" i="10"/>
  <c r="B99" i="10" s="1"/>
  <c r="F65" i="10"/>
  <c r="F102" i="10" s="1"/>
  <c r="H68" i="10"/>
  <c r="H105" i="10" s="1"/>
  <c r="B110" i="9"/>
  <c r="E98" i="9"/>
  <c r="H58" i="9"/>
  <c r="H113" i="9"/>
  <c r="E104" i="9"/>
  <c r="G110" i="9"/>
  <c r="E88" i="9"/>
  <c r="C101" i="9"/>
  <c r="F104" i="9"/>
  <c r="D53" i="9"/>
  <c r="D90" i="9" s="1"/>
  <c r="B98" i="9"/>
  <c r="B58" i="9"/>
  <c r="B101" i="9"/>
  <c r="B52" i="9"/>
  <c r="C71" i="9"/>
  <c r="C108" i="9" s="1"/>
  <c r="F52" i="9"/>
  <c r="F89" i="9" s="1"/>
  <c r="C74" i="9"/>
  <c r="G71" i="9"/>
  <c r="G108" i="9" s="1"/>
  <c r="H71" i="9"/>
  <c r="H108" i="9" s="1"/>
  <c r="B84" i="5"/>
  <c r="G94" i="5"/>
  <c r="C59" i="5"/>
  <c r="D110" i="5"/>
  <c r="D91" i="5"/>
  <c r="E59" i="5"/>
  <c r="C95" i="5"/>
  <c r="D106" i="5"/>
  <c r="C83" i="5"/>
  <c r="E94" i="5"/>
  <c r="C48" i="5"/>
  <c r="C85" i="5" s="1"/>
  <c r="D62" i="5"/>
  <c r="D68" i="5"/>
  <c r="H94" i="5"/>
  <c r="D64" i="5"/>
  <c r="D65" i="5" s="1"/>
  <c r="C71" i="5"/>
  <c r="C108" i="5" s="1"/>
  <c r="F74" i="5"/>
  <c r="C84" i="5"/>
  <c r="F95" i="5"/>
  <c r="H97" i="5"/>
  <c r="G104" i="5"/>
  <c r="H113" i="5"/>
  <c r="F57" i="5"/>
  <c r="F59" i="5" s="1"/>
  <c r="F96" i="5" s="1"/>
  <c r="G58" i="5"/>
  <c r="G59" i="5" s="1"/>
  <c r="G96" i="5" s="1"/>
  <c r="E101" i="5"/>
  <c r="H104" i="5"/>
  <c r="B106" i="5"/>
  <c r="E109" i="5"/>
  <c r="F46" i="5"/>
  <c r="F83" i="5" s="1"/>
  <c r="G47" i="5"/>
  <c r="G48" i="5" s="1"/>
  <c r="G85" i="5" s="1"/>
  <c r="H58" i="5"/>
  <c r="H59" i="5" s="1"/>
  <c r="D70" i="5"/>
  <c r="D71" i="5" s="1"/>
  <c r="F101" i="5"/>
  <c r="C106" i="5"/>
  <c r="F109" i="5"/>
  <c r="G110" i="5"/>
  <c r="B113" i="5"/>
  <c r="D57" i="5"/>
  <c r="H47" i="5"/>
  <c r="H48" i="5" s="1"/>
  <c r="F71" i="5"/>
  <c r="F108" i="5" s="1"/>
  <c r="B88" i="5"/>
  <c r="G101" i="5"/>
  <c r="B104" i="5"/>
  <c r="E107" i="5"/>
  <c r="C113" i="5"/>
  <c r="D103" i="5"/>
  <c r="G71" i="5"/>
  <c r="G108" i="5" s="1"/>
  <c r="B74" i="5"/>
  <c r="H101" i="5"/>
  <c r="C104" i="5"/>
  <c r="B57" i="5"/>
  <c r="B94" i="5" s="1"/>
  <c r="E113" i="5"/>
  <c r="B46" i="5"/>
  <c r="B48" i="5" s="1"/>
  <c r="B101" i="5"/>
  <c r="F113" i="5"/>
  <c r="H46" i="11"/>
  <c r="H48" i="11" s="1"/>
  <c r="C95" i="11"/>
  <c r="H59" i="11"/>
  <c r="D68" i="11"/>
  <c r="C83" i="11"/>
  <c r="H84" i="11"/>
  <c r="B94" i="11"/>
  <c r="D101" i="11"/>
  <c r="B59" i="11"/>
  <c r="D110" i="11"/>
  <c r="C48" i="11"/>
  <c r="D87" i="11"/>
  <c r="G46" i="11"/>
  <c r="G83" i="11" s="1"/>
  <c r="C59" i="11"/>
  <c r="D65" i="11"/>
  <c r="D102" i="11" s="1"/>
  <c r="D47" i="11"/>
  <c r="D88" i="11"/>
  <c r="D92" i="11"/>
  <c r="F94" i="11"/>
  <c r="E59" i="11"/>
  <c r="D62" i="11"/>
  <c r="D77" i="11"/>
  <c r="D114" i="11" s="1"/>
  <c r="D91" i="11"/>
  <c r="E94" i="11"/>
  <c r="F58" i="11"/>
  <c r="F59" i="11" s="1"/>
  <c r="F87" i="11"/>
  <c r="G88" i="11"/>
  <c r="G104" i="11"/>
  <c r="E110" i="11"/>
  <c r="E46" i="11"/>
  <c r="E83" i="11" s="1"/>
  <c r="F47" i="11"/>
  <c r="G58" i="11"/>
  <c r="G95" i="11" s="1"/>
  <c r="G87" i="11"/>
  <c r="H88" i="11"/>
  <c r="F46" i="11"/>
  <c r="F83" i="11" s="1"/>
  <c r="G57" i="11"/>
  <c r="E92" i="11"/>
  <c r="D100" i="11"/>
  <c r="E91" i="11"/>
  <c r="G101" i="11"/>
  <c r="E107" i="11"/>
  <c r="H110" i="11"/>
  <c r="C113" i="11"/>
  <c r="D90" i="11"/>
  <c r="D103" i="11"/>
  <c r="B87" i="11"/>
  <c r="H101" i="11"/>
  <c r="E106" i="11"/>
  <c r="F107" i="11"/>
  <c r="D113" i="11"/>
  <c r="H107" i="11"/>
  <c r="C110" i="11"/>
  <c r="F113" i="11"/>
  <c r="D112" i="11"/>
  <c r="C46" i="8"/>
  <c r="C48" i="8" s="1"/>
  <c r="D90" i="8"/>
  <c r="E59" i="8"/>
  <c r="E96" i="8" s="1"/>
  <c r="G95" i="8"/>
  <c r="B84" i="8"/>
  <c r="B95" i="8"/>
  <c r="G59" i="8"/>
  <c r="G96" i="8" s="1"/>
  <c r="D97" i="8"/>
  <c r="D107" i="8"/>
  <c r="D74" i="8"/>
  <c r="D111" i="8" s="1"/>
  <c r="D109" i="8"/>
  <c r="D77" i="8"/>
  <c r="D110" i="8"/>
  <c r="G83" i="8"/>
  <c r="D91" i="8"/>
  <c r="D103" i="8"/>
  <c r="D112" i="8"/>
  <c r="F58" i="8"/>
  <c r="F59" i="8" s="1"/>
  <c r="D64" i="8"/>
  <c r="D101" i="8" s="1"/>
  <c r="G104" i="8"/>
  <c r="B107" i="8"/>
  <c r="D106" i="8"/>
  <c r="D63" i="8"/>
  <c r="E109" i="8"/>
  <c r="F110" i="8"/>
  <c r="H112" i="8"/>
  <c r="G47" i="8"/>
  <c r="G48" i="8" s="1"/>
  <c r="H87" i="8"/>
  <c r="H95" i="8"/>
  <c r="G110" i="8"/>
  <c r="B113" i="8"/>
  <c r="D92" i="8"/>
  <c r="H57" i="8"/>
  <c r="H59" i="8" s="1"/>
  <c r="F100" i="8"/>
  <c r="G101" i="8"/>
  <c r="B104" i="8"/>
  <c r="E107" i="8"/>
  <c r="C113" i="8"/>
  <c r="D46" i="8"/>
  <c r="D51" i="8"/>
  <c r="D52" i="8" s="1"/>
  <c r="E77" i="8"/>
  <c r="E114" i="8" s="1"/>
  <c r="E90" i="8"/>
  <c r="E98" i="8"/>
  <c r="C104" i="8"/>
  <c r="B65" i="8"/>
  <c r="B102" i="8" s="1"/>
  <c r="E68" i="8"/>
  <c r="E105" i="8" s="1"/>
  <c r="H71" i="8"/>
  <c r="E112" i="8"/>
  <c r="D59" i="13"/>
  <c r="D96" i="13" s="1"/>
  <c r="B47" i="13"/>
  <c r="E46" i="13"/>
  <c r="E48" i="13" s="1"/>
  <c r="D52" i="13"/>
  <c r="G95" i="13"/>
  <c r="H59" i="13"/>
  <c r="H96" i="13" s="1"/>
  <c r="D68" i="13"/>
  <c r="B46" i="13"/>
  <c r="B83" i="13" s="1"/>
  <c r="H83" i="13"/>
  <c r="C102" i="13"/>
  <c r="H51" i="13"/>
  <c r="H52" i="13" s="1"/>
  <c r="H89" i="13" s="1"/>
  <c r="E57" i="13"/>
  <c r="E59" i="13" s="1"/>
  <c r="F58" i="13"/>
  <c r="F59" i="13" s="1"/>
  <c r="D72" i="13"/>
  <c r="D74" i="13" s="1"/>
  <c r="D111" i="13" s="1"/>
  <c r="C84" i="13"/>
  <c r="H97" i="13"/>
  <c r="D101" i="13"/>
  <c r="G104" i="13"/>
  <c r="B107" i="13"/>
  <c r="E110" i="13"/>
  <c r="H113" i="13"/>
  <c r="G47" i="13"/>
  <c r="G84" i="13" s="1"/>
  <c r="B51" i="13"/>
  <c r="B52" i="13" s="1"/>
  <c r="B89" i="13" s="1"/>
  <c r="C83" i="13"/>
  <c r="H94" i="13"/>
  <c r="D112" i="13"/>
  <c r="G46" i="13"/>
  <c r="G83" i="13" s="1"/>
  <c r="H47" i="13"/>
  <c r="H48" i="13" s="1"/>
  <c r="C51" i="13"/>
  <c r="C52" i="13" s="1"/>
  <c r="C89" i="13" s="1"/>
  <c r="G101" i="13"/>
  <c r="B104" i="13"/>
  <c r="E107" i="13"/>
  <c r="H110" i="13"/>
  <c r="C113" i="13"/>
  <c r="H101" i="13"/>
  <c r="C104" i="13"/>
  <c r="F107" i="13"/>
  <c r="D113" i="13"/>
  <c r="D87" i="13"/>
  <c r="C96" i="13"/>
  <c r="F51" i="13"/>
  <c r="F52" i="13" s="1"/>
  <c r="F89" i="13" s="1"/>
  <c r="E88" i="13"/>
  <c r="D94" i="13"/>
  <c r="D100" i="13"/>
  <c r="H46" i="28"/>
  <c r="H83" i="28" s="1"/>
  <c r="D52" i="28"/>
  <c r="D89" i="28" s="1"/>
  <c r="F46" i="28"/>
  <c r="F83" i="28" s="1"/>
  <c r="D97" i="28"/>
  <c r="C47" i="28"/>
  <c r="D74" i="28"/>
  <c r="D87" i="28"/>
  <c r="H47" i="28"/>
  <c r="D90" i="28"/>
  <c r="C94" i="28"/>
  <c r="E47" i="28"/>
  <c r="E57" i="28"/>
  <c r="E94" i="28" s="1"/>
  <c r="F58" i="28"/>
  <c r="F95" i="28" s="1"/>
  <c r="F87" i="28"/>
  <c r="D101" i="28"/>
  <c r="G104" i="28"/>
  <c r="B107" i="28"/>
  <c r="E110" i="28"/>
  <c r="H113" i="28"/>
  <c r="C105" i="28"/>
  <c r="E46" i="28"/>
  <c r="F47" i="28"/>
  <c r="D54" i="28"/>
  <c r="D91" i="28" s="1"/>
  <c r="F57" i="28"/>
  <c r="G58" i="28"/>
  <c r="D63" i="28"/>
  <c r="D65" i="28" s="1"/>
  <c r="G74" i="28"/>
  <c r="G111" i="28" s="1"/>
  <c r="B77" i="28"/>
  <c r="G57" i="28"/>
  <c r="G94" i="28" s="1"/>
  <c r="H58" i="28"/>
  <c r="H59" i="28" s="1"/>
  <c r="D61" i="28"/>
  <c r="D62" i="28" s="1"/>
  <c r="D69" i="28"/>
  <c r="D71" i="28" s="1"/>
  <c r="C97" i="28"/>
  <c r="G101" i="28"/>
  <c r="E107" i="28"/>
  <c r="G109" i="28"/>
  <c r="C113" i="28"/>
  <c r="D103" i="28"/>
  <c r="B95" i="28"/>
  <c r="H101" i="28"/>
  <c r="F107" i="28"/>
  <c r="D113" i="28"/>
  <c r="B47" i="28"/>
  <c r="B84" i="28" s="1"/>
  <c r="B57" i="28"/>
  <c r="B59" i="28" s="1"/>
  <c r="C58" i="28"/>
  <c r="C59" i="28" s="1"/>
  <c r="D67" i="28"/>
  <c r="D68" i="28" s="1"/>
  <c r="E68" i="28"/>
  <c r="H71" i="28"/>
  <c r="H108" i="28" s="1"/>
  <c r="C74" i="28"/>
  <c r="C111" i="28" s="1"/>
  <c r="D75" i="28"/>
  <c r="D77" i="28" s="1"/>
  <c r="D114" i="28" s="1"/>
  <c r="F77" i="28"/>
  <c r="F114" i="28" s="1"/>
  <c r="F48" i="14"/>
  <c r="F85" i="14" s="1"/>
  <c r="G59" i="14"/>
  <c r="G96" i="14" s="1"/>
  <c r="B62" i="14"/>
  <c r="B99" i="14" s="1"/>
  <c r="E65" i="14"/>
  <c r="E102" i="14" s="1"/>
  <c r="H68" i="14"/>
  <c r="H105" i="14" s="1"/>
  <c r="C71" i="14"/>
  <c r="C108" i="14" s="1"/>
  <c r="F74" i="14"/>
  <c r="F111" i="14" s="1"/>
  <c r="G88" i="14"/>
  <c r="F94" i="14"/>
  <c r="D100" i="14"/>
  <c r="G103" i="14"/>
  <c r="B106" i="14"/>
  <c r="E109" i="14"/>
  <c r="H112" i="14"/>
  <c r="C52" i="14"/>
  <c r="C89" i="14" s="1"/>
  <c r="D62" i="14"/>
  <c r="D99" i="14" s="1"/>
  <c r="G65" i="14"/>
  <c r="G102" i="14" s="1"/>
  <c r="B68" i="14"/>
  <c r="B105" i="14" s="1"/>
  <c r="E71" i="14"/>
  <c r="E108" i="14" s="1"/>
  <c r="H74" i="14"/>
  <c r="H111" i="14" s="1"/>
  <c r="C77" i="14"/>
  <c r="C114" i="14" s="1"/>
  <c r="H87" i="14"/>
  <c r="D52" i="14"/>
  <c r="D89" i="14" s="1"/>
  <c r="B59" i="14"/>
  <c r="B96" i="14" s="1"/>
  <c r="E62" i="14"/>
  <c r="E99" i="14" s="1"/>
  <c r="H65" i="14"/>
  <c r="H102" i="14" s="1"/>
  <c r="C68" i="14"/>
  <c r="C105" i="14" s="1"/>
  <c r="F71" i="14"/>
  <c r="F108" i="14" s="1"/>
  <c r="D77" i="14"/>
  <c r="D114" i="14" s="1"/>
  <c r="E83" i="14"/>
  <c r="B48" i="14"/>
  <c r="B85" i="14" s="1"/>
  <c r="E52" i="14"/>
  <c r="E89" i="14" s="1"/>
  <c r="C59" i="14"/>
  <c r="C96" i="14" s="1"/>
  <c r="F62" i="14"/>
  <c r="F99" i="14" s="1"/>
  <c r="D68" i="14"/>
  <c r="D105" i="14" s="1"/>
  <c r="G71" i="14"/>
  <c r="G108" i="14" s="1"/>
  <c r="B74" i="14"/>
  <c r="B111" i="14" s="1"/>
  <c r="E77" i="14"/>
  <c r="E114" i="14" s="1"/>
  <c r="E59" i="14"/>
  <c r="E96" i="14" s="1"/>
  <c r="H62" i="14"/>
  <c r="H99" i="14" s="1"/>
  <c r="C65" i="14"/>
  <c r="C102" i="14" s="1"/>
  <c r="F68" i="14"/>
  <c r="F105" i="14" s="1"/>
  <c r="D74" i="14"/>
  <c r="D111" i="14" s="1"/>
  <c r="G77" i="14"/>
  <c r="G114" i="14" s="1"/>
  <c r="D97" i="20"/>
  <c r="B84" i="20"/>
  <c r="H47" i="20"/>
  <c r="F46" i="20"/>
  <c r="D113" i="20"/>
  <c r="H46" i="20"/>
  <c r="H83" i="20" s="1"/>
  <c r="G95" i="20"/>
  <c r="D77" i="20"/>
  <c r="G84" i="20"/>
  <c r="D52" i="20"/>
  <c r="D46" i="20"/>
  <c r="D90" i="20"/>
  <c r="E47" i="20"/>
  <c r="E84" i="20" s="1"/>
  <c r="E57" i="20"/>
  <c r="E94" i="20" s="1"/>
  <c r="F58" i="20"/>
  <c r="F59" i="20" s="1"/>
  <c r="F96" i="20" s="1"/>
  <c r="F87" i="20"/>
  <c r="G88" i="20"/>
  <c r="H97" i="20"/>
  <c r="D101" i="20"/>
  <c r="G104" i="20"/>
  <c r="B107" i="20"/>
  <c r="E110" i="20"/>
  <c r="H113" i="20"/>
  <c r="E46" i="20"/>
  <c r="E83" i="20" s="1"/>
  <c r="F47" i="20"/>
  <c r="D63" i="20"/>
  <c r="D65" i="20" s="1"/>
  <c r="D102" i="20" s="1"/>
  <c r="G74" i="20"/>
  <c r="G111" i="20" s="1"/>
  <c r="B77" i="20"/>
  <c r="H88" i="20"/>
  <c r="H58" i="20"/>
  <c r="H59" i="20" s="1"/>
  <c r="B46" i="20"/>
  <c r="B48" i="20" s="1"/>
  <c r="D91" i="20"/>
  <c r="D61" i="20"/>
  <c r="D62" i="20" s="1"/>
  <c r="C97" i="20"/>
  <c r="G101" i="20"/>
  <c r="E107" i="20"/>
  <c r="G109" i="20"/>
  <c r="C113" i="20"/>
  <c r="D103" i="20"/>
  <c r="B95" i="20"/>
  <c r="E98" i="20"/>
  <c r="H101" i="20"/>
  <c r="E106" i="20"/>
  <c r="F107" i="20"/>
  <c r="H71" i="20"/>
  <c r="C74" i="20"/>
  <c r="F77" i="20"/>
  <c r="F114" i="20" s="1"/>
  <c r="D87" i="20"/>
  <c r="D112" i="20"/>
  <c r="G94" i="6"/>
  <c r="E95" i="6"/>
  <c r="F83" i="6"/>
  <c r="D68" i="6"/>
  <c r="G59" i="6"/>
  <c r="G83" i="6"/>
  <c r="G48" i="6"/>
  <c r="H83" i="6"/>
  <c r="D101" i="6"/>
  <c r="H48" i="6"/>
  <c r="E46" i="6"/>
  <c r="D91" i="6"/>
  <c r="E47" i="6"/>
  <c r="E57" i="6"/>
  <c r="E94" i="6" s="1"/>
  <c r="F58" i="6"/>
  <c r="G88" i="6"/>
  <c r="D92" i="6"/>
  <c r="D106" i="6"/>
  <c r="F47" i="6"/>
  <c r="F48" i="6" s="1"/>
  <c r="F57" i="6"/>
  <c r="F94" i="6" s="1"/>
  <c r="D63" i="6"/>
  <c r="D65" i="6" s="1"/>
  <c r="B98" i="6"/>
  <c r="C107" i="6"/>
  <c r="D103" i="6"/>
  <c r="B113" i="6"/>
  <c r="H57" i="6"/>
  <c r="H94" i="6" s="1"/>
  <c r="D61" i="6"/>
  <c r="D62" i="6" s="1"/>
  <c r="F100" i="6"/>
  <c r="B104" i="6"/>
  <c r="B58" i="6"/>
  <c r="B59" i="6" s="1"/>
  <c r="B96" i="6" s="1"/>
  <c r="H101" i="6"/>
  <c r="F107" i="6"/>
  <c r="D112" i="6"/>
  <c r="C58" i="6"/>
  <c r="C59" i="6" s="1"/>
  <c r="E104" i="6"/>
  <c r="B48" i="2"/>
  <c r="B85" i="2" s="1"/>
  <c r="B59" i="2"/>
  <c r="B96" i="2" s="1"/>
  <c r="D59" i="2"/>
  <c r="D107" i="2"/>
  <c r="E83" i="2"/>
  <c r="E94" i="2"/>
  <c r="C95" i="2"/>
  <c r="E59" i="2"/>
  <c r="E96" i="2" s="1"/>
  <c r="D97" i="2"/>
  <c r="B99" i="2"/>
  <c r="D109" i="2"/>
  <c r="G48" i="2"/>
  <c r="G85" i="2" s="1"/>
  <c r="D90" i="2"/>
  <c r="G83" i="2"/>
  <c r="D87" i="2"/>
  <c r="G94" i="2"/>
  <c r="D101" i="2"/>
  <c r="H95" i="2"/>
  <c r="D106" i="2"/>
  <c r="E47" i="2"/>
  <c r="E48" i="2" s="1"/>
  <c r="E85" i="2" s="1"/>
  <c r="C84" i="2"/>
  <c r="G88" i="2"/>
  <c r="F95" i="2"/>
  <c r="E110" i="2"/>
  <c r="H113" i="2"/>
  <c r="D91" i="2"/>
  <c r="H99" i="2"/>
  <c r="D103" i="2"/>
  <c r="F105" i="2"/>
  <c r="F47" i="2"/>
  <c r="F48" i="2" s="1"/>
  <c r="F85" i="2" s="1"/>
  <c r="G58" i="2"/>
  <c r="G59" i="2" s="1"/>
  <c r="G96" i="2" s="1"/>
  <c r="D63" i="2"/>
  <c r="D65" i="2" s="1"/>
  <c r="B98" i="2"/>
  <c r="E101" i="2"/>
  <c r="H104" i="2"/>
  <c r="C107" i="2"/>
  <c r="E109" i="2"/>
  <c r="F110" i="2"/>
  <c r="E92" i="2"/>
  <c r="C98" i="2"/>
  <c r="F101" i="2"/>
  <c r="B113" i="2"/>
  <c r="C89" i="2"/>
  <c r="H47" i="2"/>
  <c r="H48" i="2" s="1"/>
  <c r="D61" i="2"/>
  <c r="D62" i="2" s="1"/>
  <c r="B104" i="2"/>
  <c r="E107" i="2"/>
  <c r="H110" i="2"/>
  <c r="G84" i="2"/>
  <c r="D75" i="2"/>
  <c r="D77" i="2" s="1"/>
  <c r="E97" i="2"/>
  <c r="F98" i="2"/>
  <c r="D92" i="27"/>
  <c r="D87" i="27"/>
  <c r="F46" i="27"/>
  <c r="F83" i="27" s="1"/>
  <c r="H83" i="27"/>
  <c r="E47" i="27"/>
  <c r="E57" i="27"/>
  <c r="E94" i="27" s="1"/>
  <c r="F87" i="27"/>
  <c r="F95" i="27"/>
  <c r="D101" i="27"/>
  <c r="G104" i="27"/>
  <c r="B107" i="27"/>
  <c r="E110" i="27"/>
  <c r="H113" i="27"/>
  <c r="E46" i="27"/>
  <c r="F47" i="27"/>
  <c r="F57" i="27"/>
  <c r="F94" i="27" s="1"/>
  <c r="G58" i="27"/>
  <c r="G95" i="27" s="1"/>
  <c r="D63" i="27"/>
  <c r="D65" i="27" s="1"/>
  <c r="G74" i="27"/>
  <c r="G111" i="27" s="1"/>
  <c r="B77" i="27"/>
  <c r="B114" i="27" s="1"/>
  <c r="G57" i="27"/>
  <c r="G94" i="27" s="1"/>
  <c r="H58" i="27"/>
  <c r="H59" i="27" s="1"/>
  <c r="D61" i="27"/>
  <c r="D69" i="27"/>
  <c r="D71" i="27" s="1"/>
  <c r="C97" i="27"/>
  <c r="G101" i="27"/>
  <c r="E107" i="27"/>
  <c r="G109" i="27"/>
  <c r="C113" i="27"/>
  <c r="H99" i="27"/>
  <c r="D103" i="27"/>
  <c r="H101" i="27"/>
  <c r="F107" i="27"/>
  <c r="B47" i="27"/>
  <c r="B84" i="27" s="1"/>
  <c r="B57" i="27"/>
  <c r="D67" i="27"/>
  <c r="D68" i="27" s="1"/>
  <c r="C74" i="27"/>
  <c r="D75" i="27"/>
  <c r="F77" i="27"/>
  <c r="D88" i="19"/>
  <c r="C59" i="19"/>
  <c r="F46" i="19"/>
  <c r="F83" i="19" s="1"/>
  <c r="D58" i="19"/>
  <c r="D97" i="19"/>
  <c r="F47" i="19"/>
  <c r="D100" i="19"/>
  <c r="E103" i="19"/>
  <c r="G59" i="19"/>
  <c r="G96" i="19" s="1"/>
  <c r="G95" i="19"/>
  <c r="B47" i="19"/>
  <c r="D91" i="19"/>
  <c r="E47" i="19"/>
  <c r="F58" i="19"/>
  <c r="F95" i="19" s="1"/>
  <c r="F66" i="19"/>
  <c r="F68" i="19" s="1"/>
  <c r="G88" i="19"/>
  <c r="H97" i="19"/>
  <c r="B107" i="19"/>
  <c r="E110" i="19"/>
  <c r="H113" i="19"/>
  <c r="C46" i="19"/>
  <c r="D90" i="19"/>
  <c r="D112" i="19"/>
  <c r="G66" i="19"/>
  <c r="G68" i="19" s="1"/>
  <c r="G105" i="19" s="1"/>
  <c r="C107" i="19"/>
  <c r="E109" i="19"/>
  <c r="H66" i="19"/>
  <c r="H68" i="19" s="1"/>
  <c r="D70" i="19"/>
  <c r="D71" i="19" s="1"/>
  <c r="C98" i="19"/>
  <c r="F101" i="19"/>
  <c r="B113" i="19"/>
  <c r="B88" i="19"/>
  <c r="G101" i="19"/>
  <c r="C113" i="19"/>
  <c r="C88" i="19"/>
  <c r="G92" i="19"/>
  <c r="B95" i="19"/>
  <c r="E98" i="19"/>
  <c r="G100" i="19"/>
  <c r="H101" i="19"/>
  <c r="E113" i="19"/>
  <c r="D111" i="19"/>
  <c r="C47" i="19"/>
  <c r="F113" i="19"/>
  <c r="B94" i="19"/>
  <c r="F94" i="12"/>
  <c r="G103" i="12"/>
  <c r="F48" i="12"/>
  <c r="F85" i="12" s="1"/>
  <c r="G59" i="12"/>
  <c r="G96" i="12" s="1"/>
  <c r="B62" i="12"/>
  <c r="B99" i="12" s="1"/>
  <c r="E65" i="12"/>
  <c r="E102" i="12" s="1"/>
  <c r="H68" i="12"/>
  <c r="H105" i="12" s="1"/>
  <c r="C71" i="12"/>
  <c r="C108" i="12" s="1"/>
  <c r="F74" i="12"/>
  <c r="F111" i="12" s="1"/>
  <c r="C84" i="12"/>
  <c r="H113" i="12"/>
  <c r="D100" i="12"/>
  <c r="H87" i="12"/>
  <c r="H65" i="12"/>
  <c r="H102" i="12" s="1"/>
  <c r="C68" i="12"/>
  <c r="C105" i="12" s="1"/>
  <c r="F71" i="12"/>
  <c r="F108" i="12" s="1"/>
  <c r="D77" i="12"/>
  <c r="D114" i="12" s="1"/>
  <c r="E83" i="12"/>
  <c r="E109" i="12"/>
  <c r="B48" i="12"/>
  <c r="B85" i="12" s="1"/>
  <c r="E52" i="12"/>
  <c r="E89" i="12" s="1"/>
  <c r="C59" i="12"/>
  <c r="C96" i="12" s="1"/>
  <c r="F62" i="12"/>
  <c r="F99" i="12" s="1"/>
  <c r="D68" i="12"/>
  <c r="D105" i="12" s="1"/>
  <c r="G71" i="12"/>
  <c r="G108" i="12" s="1"/>
  <c r="B74" i="12"/>
  <c r="B111" i="12" s="1"/>
  <c r="E77" i="12"/>
  <c r="E114" i="12" s="1"/>
  <c r="F52" i="12"/>
  <c r="F89" i="12" s="1"/>
  <c r="D59" i="12"/>
  <c r="D96" i="12" s="1"/>
  <c r="G62" i="12"/>
  <c r="G99" i="12" s="1"/>
  <c r="B65" i="12"/>
  <c r="B102" i="12" s="1"/>
  <c r="E68" i="12"/>
  <c r="E105" i="12" s="1"/>
  <c r="H71" i="12"/>
  <c r="H108" i="12" s="1"/>
  <c r="C74" i="12"/>
  <c r="C111" i="12" s="1"/>
  <c r="F77" i="12"/>
  <c r="F114" i="12" s="1"/>
  <c r="B106" i="12"/>
  <c r="C94" i="21"/>
  <c r="E95" i="21"/>
  <c r="H59" i="21"/>
  <c r="H96" i="21" s="1"/>
  <c r="B48" i="21"/>
  <c r="B85" i="21" s="1"/>
  <c r="B83" i="21"/>
  <c r="H94" i="21"/>
  <c r="C83" i="21"/>
  <c r="D52" i="21"/>
  <c r="C47" i="21"/>
  <c r="C48" i="21" s="1"/>
  <c r="D58" i="21"/>
  <c r="D59" i="21" s="1"/>
  <c r="D101" i="21"/>
  <c r="D104" i="21"/>
  <c r="B84" i="21"/>
  <c r="D91" i="21"/>
  <c r="D113" i="21"/>
  <c r="D46" i="21"/>
  <c r="B95" i="21"/>
  <c r="G105" i="21"/>
  <c r="F83" i="21"/>
  <c r="D112" i="21"/>
  <c r="E47" i="21"/>
  <c r="E48" i="21" s="1"/>
  <c r="E57" i="21"/>
  <c r="E94" i="21" s="1"/>
  <c r="F58" i="21"/>
  <c r="F103" i="21"/>
  <c r="G104" i="21"/>
  <c r="B107" i="21"/>
  <c r="H113" i="21"/>
  <c r="F57" i="21"/>
  <c r="F94" i="21" s="1"/>
  <c r="G58" i="21"/>
  <c r="G59" i="21" s="1"/>
  <c r="H88" i="21"/>
  <c r="E101" i="21"/>
  <c r="E109" i="21"/>
  <c r="H83" i="21"/>
  <c r="D92" i="21"/>
  <c r="H95" i="21"/>
  <c r="F109" i="21"/>
  <c r="B113" i="21"/>
  <c r="D103" i="21"/>
  <c r="H47" i="21"/>
  <c r="H48" i="21" s="1"/>
  <c r="D61" i="21"/>
  <c r="D62" i="21" s="1"/>
  <c r="B88" i="21"/>
  <c r="B104" i="21"/>
  <c r="H110" i="21"/>
  <c r="C113" i="21"/>
  <c r="D90" i="21"/>
  <c r="D106" i="21"/>
  <c r="E77" i="21"/>
  <c r="E114" i="21" s="1"/>
  <c r="F91" i="21"/>
  <c r="F107" i="21"/>
  <c r="C58" i="21"/>
  <c r="C59" i="21" s="1"/>
  <c r="F113" i="21"/>
  <c r="C102" i="21"/>
  <c r="B95" i="10"/>
  <c r="G46" i="10"/>
  <c r="G83" i="10" s="1"/>
  <c r="D90" i="10"/>
  <c r="B94" i="10"/>
  <c r="D109" i="10"/>
  <c r="D110" i="10"/>
  <c r="B59" i="10"/>
  <c r="B96" i="10" s="1"/>
  <c r="D101" i="10"/>
  <c r="D71" i="10"/>
  <c r="H114" i="10"/>
  <c r="D57" i="10"/>
  <c r="D68" i="10"/>
  <c r="D106" i="10"/>
  <c r="D77" i="10"/>
  <c r="E83" i="10"/>
  <c r="D74" i="10"/>
  <c r="C71" i="10"/>
  <c r="C108" i="10" s="1"/>
  <c r="E110" i="10"/>
  <c r="H113" i="10"/>
  <c r="B105" i="10"/>
  <c r="D107" i="10"/>
  <c r="E111" i="10"/>
  <c r="F47" i="10"/>
  <c r="F57" i="10"/>
  <c r="F94" i="10" s="1"/>
  <c r="G74" i="10"/>
  <c r="G111" i="10" s="1"/>
  <c r="B77" i="10"/>
  <c r="B114" i="10" s="1"/>
  <c r="B106" i="10"/>
  <c r="E109" i="10"/>
  <c r="D98" i="10"/>
  <c r="F46" i="10"/>
  <c r="F83" i="10" s="1"/>
  <c r="G47" i="10"/>
  <c r="G57" i="10"/>
  <c r="G59" i="10" s="1"/>
  <c r="H58" i="10"/>
  <c r="C98" i="10"/>
  <c r="E100" i="10"/>
  <c r="F101" i="10"/>
  <c r="H103" i="10"/>
  <c r="C106" i="10"/>
  <c r="F109" i="10"/>
  <c r="B83" i="10"/>
  <c r="H47" i="10"/>
  <c r="H84" i="10" s="1"/>
  <c r="H57" i="10"/>
  <c r="H94" i="10" s="1"/>
  <c r="F71" i="10"/>
  <c r="F108" i="10" s="1"/>
  <c r="G101" i="10"/>
  <c r="E107" i="10"/>
  <c r="H110" i="10"/>
  <c r="C113" i="10"/>
  <c r="D46" i="10"/>
  <c r="D51" i="10"/>
  <c r="D52" i="10" s="1"/>
  <c r="D60" i="10"/>
  <c r="D62" i="10" s="1"/>
  <c r="G71" i="10"/>
  <c r="G108" i="10" s="1"/>
  <c r="E90" i="10"/>
  <c r="D113" i="10"/>
  <c r="D103" i="10"/>
  <c r="C74" i="10"/>
  <c r="F77" i="10"/>
  <c r="F114" i="10" s="1"/>
  <c r="C47" i="10"/>
  <c r="C84" i="10" s="1"/>
  <c r="C57" i="10"/>
  <c r="C94" i="10" s="1"/>
  <c r="G98" i="10"/>
  <c r="G106" i="10"/>
  <c r="D112" i="10"/>
  <c r="B94" i="3"/>
  <c r="C95" i="3"/>
  <c r="D103" i="3"/>
  <c r="B83" i="3"/>
  <c r="C84" i="3"/>
  <c r="F94" i="3"/>
  <c r="G95" i="3"/>
  <c r="D71" i="3"/>
  <c r="D108" i="3" s="1"/>
  <c r="C83" i="3"/>
  <c r="G48" i="3"/>
  <c r="G85" i="3" s="1"/>
  <c r="H95" i="3"/>
  <c r="B59" i="3"/>
  <c r="H83" i="3"/>
  <c r="D58" i="3"/>
  <c r="D59" i="3" s="1"/>
  <c r="D68" i="3"/>
  <c r="D106" i="3"/>
  <c r="E47" i="3"/>
  <c r="E48" i="3" s="1"/>
  <c r="F58" i="3"/>
  <c r="F59" i="3" s="1"/>
  <c r="D64" i="3"/>
  <c r="D72" i="3"/>
  <c r="D109" i="3" s="1"/>
  <c r="G88" i="3"/>
  <c r="E110" i="3"/>
  <c r="H113" i="3"/>
  <c r="F47" i="3"/>
  <c r="F48" i="3" s="1"/>
  <c r="D63" i="3"/>
  <c r="D100" i="3" s="1"/>
  <c r="H88" i="3"/>
  <c r="E101" i="3"/>
  <c r="F110" i="3"/>
  <c r="G57" i="3"/>
  <c r="G59" i="3" s="1"/>
  <c r="E92" i="3"/>
  <c r="F101" i="3"/>
  <c r="G110" i="3"/>
  <c r="B113" i="3"/>
  <c r="F102" i="3"/>
  <c r="H47" i="3"/>
  <c r="H48" i="3" s="1"/>
  <c r="H85" i="3" s="1"/>
  <c r="D61" i="3"/>
  <c r="D62" i="3" s="1"/>
  <c r="B88" i="3"/>
  <c r="E91" i="3"/>
  <c r="G101" i="3"/>
  <c r="H110" i="3"/>
  <c r="C113" i="3"/>
  <c r="E90" i="3"/>
  <c r="H101" i="3"/>
  <c r="B47" i="3"/>
  <c r="B48" i="3" s="1"/>
  <c r="D75" i="3"/>
  <c r="D77" i="3" s="1"/>
  <c r="D88" i="3"/>
  <c r="B110" i="3"/>
  <c r="B101" i="3"/>
  <c r="C110" i="3"/>
  <c r="D66" i="9"/>
  <c r="D103" i="9" s="1"/>
  <c r="H47" i="9"/>
  <c r="B88" i="9"/>
  <c r="E58" i="9"/>
  <c r="E60" i="9"/>
  <c r="E62" i="9" s="1"/>
  <c r="E99" i="9" s="1"/>
  <c r="B63" i="9"/>
  <c r="B65" i="9" s="1"/>
  <c r="E101" i="9"/>
  <c r="G74" i="9"/>
  <c r="C97" i="9"/>
  <c r="C66" i="9"/>
  <c r="C68" i="9" s="1"/>
  <c r="C105" i="9" s="1"/>
  <c r="C46" i="9"/>
  <c r="C104" i="9"/>
  <c r="H98" i="9"/>
  <c r="E63" i="9"/>
  <c r="E100" i="9" s="1"/>
  <c r="F109" i="9"/>
  <c r="G97" i="9"/>
  <c r="H60" i="9"/>
  <c r="H62" i="9" s="1"/>
  <c r="H99" i="9" s="1"/>
  <c r="D61" i="9"/>
  <c r="F63" i="9"/>
  <c r="F100" i="9" s="1"/>
  <c r="E66" i="9"/>
  <c r="E68" i="9" s="1"/>
  <c r="E50" i="9"/>
  <c r="E87" i="9" s="1"/>
  <c r="F88" i="9"/>
  <c r="G63" i="9"/>
  <c r="G65" i="9" s="1"/>
  <c r="D64" i="9"/>
  <c r="B103" i="9"/>
  <c r="D72" i="9"/>
  <c r="C62" i="9"/>
  <c r="B74" i="9"/>
  <c r="E77" i="9"/>
  <c r="G66" i="9"/>
  <c r="G68" i="9" s="1"/>
  <c r="H57" i="9"/>
  <c r="G104" i="9"/>
  <c r="D71" i="9"/>
  <c r="D108" i="9" s="1"/>
  <c r="F77" i="9"/>
  <c r="F114" i="9" s="1"/>
  <c r="H50" i="9"/>
  <c r="H52" i="9" s="1"/>
  <c r="H89" i="9" s="1"/>
  <c r="H88" i="9"/>
  <c r="F103" i="9"/>
  <c r="H66" i="9"/>
  <c r="H68" i="9" s="1"/>
  <c r="H105" i="9" s="1"/>
  <c r="H104" i="9"/>
  <c r="F62" i="9"/>
  <c r="C58" i="9"/>
  <c r="H100" i="9"/>
  <c r="D67" i="9"/>
  <c r="F112" i="9"/>
  <c r="G62" i="9"/>
  <c r="F74" i="9"/>
  <c r="C112" i="9"/>
  <c r="G75" i="9"/>
  <c r="G77" i="9" s="1"/>
  <c r="G114" i="9" s="1"/>
  <c r="G58" i="9"/>
  <c r="H75" i="9"/>
  <c r="H77" i="9" s="1"/>
  <c r="E109" i="9"/>
  <c r="F110" i="9"/>
  <c r="B60" i="9"/>
  <c r="B62" i="9" s="1"/>
  <c r="B113" i="9"/>
  <c r="G109" i="9"/>
  <c r="B75" i="9"/>
  <c r="B77" i="9" s="1"/>
  <c r="B114" i="9" s="1"/>
  <c r="G101" i="9"/>
  <c r="C113" i="9"/>
  <c r="B109" i="9"/>
  <c r="E112" i="9"/>
  <c r="C109" i="9"/>
  <c r="F47" i="7"/>
  <c r="F48" i="7" s="1"/>
  <c r="F85" i="7" s="1"/>
  <c r="B46" i="7"/>
  <c r="G59" i="7"/>
  <c r="H59" i="7"/>
  <c r="H96" i="7" s="1"/>
  <c r="F83" i="7"/>
  <c r="F94" i="7"/>
  <c r="D91" i="7"/>
  <c r="D97" i="7"/>
  <c r="H84" i="7"/>
  <c r="D110" i="7"/>
  <c r="E94" i="7"/>
  <c r="H46" i="7"/>
  <c r="H83" i="7" s="1"/>
  <c r="E47" i="7"/>
  <c r="G83" i="7"/>
  <c r="E59" i="7"/>
  <c r="C83" i="7"/>
  <c r="D92" i="7"/>
  <c r="D109" i="7"/>
  <c r="F58" i="7"/>
  <c r="F59" i="7" s="1"/>
  <c r="F96" i="7" s="1"/>
  <c r="H97" i="7"/>
  <c r="D101" i="7"/>
  <c r="G104" i="7"/>
  <c r="B107" i="7"/>
  <c r="D63" i="7"/>
  <c r="D65" i="7" s="1"/>
  <c r="E109" i="7"/>
  <c r="F110" i="7"/>
  <c r="H112" i="7"/>
  <c r="H87" i="7"/>
  <c r="G94" i="7"/>
  <c r="H95" i="7"/>
  <c r="B113" i="7"/>
  <c r="D61" i="7"/>
  <c r="D62" i="7" s="1"/>
  <c r="D99" i="7" s="1"/>
  <c r="B88" i="7"/>
  <c r="E91" i="7"/>
  <c r="C97" i="7"/>
  <c r="F100" i="7"/>
  <c r="G101" i="7"/>
  <c r="E107" i="7"/>
  <c r="D103" i="7"/>
  <c r="B58" i="7"/>
  <c r="B59" i="7" s="1"/>
  <c r="E98" i="7"/>
  <c r="H101" i="7"/>
  <c r="E106" i="7"/>
  <c r="F107" i="7"/>
  <c r="D50" i="7"/>
  <c r="D52" i="7" s="1"/>
  <c r="D75" i="7"/>
  <c r="D77" i="7" s="1"/>
  <c r="H59" i="9" l="1"/>
  <c r="F48" i="20"/>
  <c r="C83" i="8"/>
  <c r="E59" i="20"/>
  <c r="E96" i="20" s="1"/>
  <c r="H48" i="28"/>
  <c r="H85" i="28" s="1"/>
  <c r="D77" i="27"/>
  <c r="D114" i="27" s="1"/>
  <c r="D62" i="27"/>
  <c r="D99" i="27" s="1"/>
  <c r="G103" i="19"/>
  <c r="D100" i="28"/>
  <c r="E59" i="28"/>
  <c r="E96" i="28" s="1"/>
  <c r="D112" i="28"/>
  <c r="F48" i="19"/>
  <c r="F85" i="19" s="1"/>
  <c r="F95" i="3"/>
  <c r="F84" i="7"/>
  <c r="G94" i="3"/>
  <c r="C103" i="9"/>
  <c r="C48" i="19"/>
  <c r="G59" i="28"/>
  <c r="G96" i="28" s="1"/>
  <c r="B94" i="28"/>
  <c r="F48" i="28"/>
  <c r="F85" i="28" s="1"/>
  <c r="D98" i="2"/>
  <c r="B48" i="13"/>
  <c r="B85" i="13" s="1"/>
  <c r="B88" i="13"/>
  <c r="H88" i="13"/>
  <c r="D109" i="13"/>
  <c r="F88" i="13"/>
  <c r="C88" i="13"/>
  <c r="G84" i="5"/>
  <c r="F94" i="5"/>
  <c r="D100" i="6"/>
  <c r="H59" i="6"/>
  <c r="H96" i="6" s="1"/>
  <c r="F65" i="9"/>
  <c r="F102" i="9" s="1"/>
  <c r="F59" i="27"/>
  <c r="F96" i="27" s="1"/>
  <c r="D106" i="27"/>
  <c r="F84" i="20"/>
  <c r="F95" i="20"/>
  <c r="H48" i="20"/>
  <c r="H48" i="7"/>
  <c r="H85" i="7" s="1"/>
  <c r="D100" i="7"/>
  <c r="F95" i="7"/>
  <c r="D112" i="7"/>
  <c r="B95" i="7"/>
  <c r="D74" i="3"/>
  <c r="D111" i="3" s="1"/>
  <c r="G48" i="10"/>
  <c r="G85" i="10" s="1"/>
  <c r="F48" i="11"/>
  <c r="F85" i="11" s="1"/>
  <c r="G94" i="10"/>
  <c r="F59" i="21"/>
  <c r="F96" i="21" s="1"/>
  <c r="E52" i="9"/>
  <c r="E89" i="9" s="1"/>
  <c r="G103" i="9"/>
  <c r="H83" i="11"/>
  <c r="D100" i="27"/>
  <c r="D97" i="27"/>
  <c r="D88" i="27"/>
  <c r="D111" i="27"/>
  <c r="B59" i="27"/>
  <c r="B96" i="27" s="1"/>
  <c r="F48" i="27"/>
  <c r="F85" i="27" s="1"/>
  <c r="H47" i="27"/>
  <c r="H48" i="27" s="1"/>
  <c r="H85" i="27" s="1"/>
  <c r="D112" i="27"/>
  <c r="H59" i="10"/>
  <c r="H96" i="10" s="1"/>
  <c r="D76" i="9"/>
  <c r="G112" i="9"/>
  <c r="E113" i="9"/>
  <c r="D75" i="9"/>
  <c r="D112" i="9" s="1"/>
  <c r="D73" i="9"/>
  <c r="D74" i="9" s="1"/>
  <c r="C111" i="9"/>
  <c r="C110" i="9"/>
  <c r="F98" i="9"/>
  <c r="B95" i="9"/>
  <c r="E47" i="9"/>
  <c r="E114" i="9"/>
  <c r="B57" i="9"/>
  <c r="B59" i="9" s="1"/>
  <c r="G99" i="9"/>
  <c r="G98" i="9"/>
  <c r="B104" i="9"/>
  <c r="B105" i="9"/>
  <c r="B89" i="9"/>
  <c r="H103" i="9"/>
  <c r="C98" i="9"/>
  <c r="C95" i="9"/>
  <c r="H102" i="9"/>
  <c r="H101" i="9"/>
  <c r="D51" i="9"/>
  <c r="F101" i="9"/>
  <c r="H96" i="5"/>
  <c r="H95" i="5"/>
  <c r="B111" i="5"/>
  <c r="F111" i="5"/>
  <c r="D98" i="5"/>
  <c r="D99" i="5"/>
  <c r="D88" i="5"/>
  <c r="D89" i="5"/>
  <c r="B59" i="5"/>
  <c r="B96" i="5" s="1"/>
  <c r="F84" i="5"/>
  <c r="D97" i="5"/>
  <c r="D94" i="5"/>
  <c r="E85" i="5"/>
  <c r="E84" i="5"/>
  <c r="B83" i="5"/>
  <c r="D87" i="5"/>
  <c r="D102" i="5"/>
  <c r="D101" i="5"/>
  <c r="E95" i="5"/>
  <c r="E96" i="5"/>
  <c r="H83" i="5"/>
  <c r="G95" i="5"/>
  <c r="B85" i="5"/>
  <c r="D108" i="5"/>
  <c r="F48" i="5"/>
  <c r="F85" i="5" s="1"/>
  <c r="C96" i="5"/>
  <c r="D107" i="5"/>
  <c r="D58" i="5"/>
  <c r="D59" i="5" s="1"/>
  <c r="D105" i="5"/>
  <c r="D104" i="5"/>
  <c r="D114" i="5"/>
  <c r="D113" i="5"/>
  <c r="D108" i="11"/>
  <c r="D107" i="11"/>
  <c r="D104" i="11"/>
  <c r="D105" i="11"/>
  <c r="F96" i="11"/>
  <c r="G47" i="11"/>
  <c r="G48" i="11" s="1"/>
  <c r="D46" i="11"/>
  <c r="D48" i="11" s="1"/>
  <c r="H85" i="11"/>
  <c r="G94" i="11"/>
  <c r="B46" i="11"/>
  <c r="B48" i="11" s="1"/>
  <c r="E99" i="11"/>
  <c r="D99" i="11"/>
  <c r="E95" i="11"/>
  <c r="E96" i="11"/>
  <c r="H94" i="11"/>
  <c r="H96" i="11"/>
  <c r="D97" i="11"/>
  <c r="F84" i="11"/>
  <c r="G59" i="11"/>
  <c r="G96" i="11" s="1"/>
  <c r="C96" i="11"/>
  <c r="C85" i="11"/>
  <c r="C84" i="11"/>
  <c r="B84" i="11"/>
  <c r="E47" i="11"/>
  <c r="E48" i="11" s="1"/>
  <c r="B95" i="11"/>
  <c r="B96" i="11"/>
  <c r="F95" i="11"/>
  <c r="D105" i="8"/>
  <c r="D104" i="8"/>
  <c r="D58" i="8"/>
  <c r="D59" i="8" s="1"/>
  <c r="H108" i="8"/>
  <c r="H96" i="8"/>
  <c r="H94" i="8"/>
  <c r="G85" i="8"/>
  <c r="G84" i="8"/>
  <c r="C95" i="8"/>
  <c r="C96" i="8"/>
  <c r="E47" i="8"/>
  <c r="B94" i="8"/>
  <c r="B96" i="8"/>
  <c r="D99" i="8"/>
  <c r="D98" i="8"/>
  <c r="D65" i="8"/>
  <c r="D102" i="8" s="1"/>
  <c r="F96" i="8"/>
  <c r="F94" i="8"/>
  <c r="F47" i="8"/>
  <c r="F95" i="8"/>
  <c r="H47" i="8"/>
  <c r="D87" i="8"/>
  <c r="D88" i="8"/>
  <c r="D89" i="8"/>
  <c r="H46" i="8"/>
  <c r="H83" i="8" s="1"/>
  <c r="D108" i="8"/>
  <c r="D114" i="8"/>
  <c r="D113" i="8"/>
  <c r="D94" i="8"/>
  <c r="D100" i="8"/>
  <c r="F47" i="13"/>
  <c r="F48" i="13" s="1"/>
  <c r="E83" i="13"/>
  <c r="E85" i="13"/>
  <c r="E84" i="13"/>
  <c r="D84" i="13"/>
  <c r="G89" i="13"/>
  <c r="G88" i="13"/>
  <c r="B95" i="13"/>
  <c r="B96" i="13"/>
  <c r="D103" i="13"/>
  <c r="D105" i="13"/>
  <c r="H85" i="13"/>
  <c r="H84" i="13"/>
  <c r="D106" i="13"/>
  <c r="D108" i="13"/>
  <c r="E94" i="13"/>
  <c r="D46" i="13"/>
  <c r="D48" i="13" s="1"/>
  <c r="D85" i="13" s="1"/>
  <c r="D114" i="13"/>
  <c r="D102" i="13"/>
  <c r="D97" i="13"/>
  <c r="D99" i="13"/>
  <c r="B84" i="13"/>
  <c r="F95" i="13"/>
  <c r="F96" i="13"/>
  <c r="D89" i="13"/>
  <c r="D88" i="13"/>
  <c r="C85" i="13"/>
  <c r="E95" i="13"/>
  <c r="E96" i="13"/>
  <c r="G48" i="13"/>
  <c r="G85" i="13" s="1"/>
  <c r="B114" i="28"/>
  <c r="F94" i="28"/>
  <c r="G46" i="28"/>
  <c r="G95" i="28"/>
  <c r="D108" i="28"/>
  <c r="D107" i="28"/>
  <c r="H96" i="28"/>
  <c r="H95" i="28"/>
  <c r="D58" i="28"/>
  <c r="D105" i="28"/>
  <c r="D46" i="28"/>
  <c r="D83" i="28" s="1"/>
  <c r="E105" i="28"/>
  <c r="G47" i="28"/>
  <c r="D110" i="28"/>
  <c r="D111" i="28"/>
  <c r="D57" i="28"/>
  <c r="H84" i="28"/>
  <c r="D106" i="28"/>
  <c r="D104" i="28"/>
  <c r="F84" i="28"/>
  <c r="C84" i="28"/>
  <c r="F59" i="28"/>
  <c r="F96" i="28" s="1"/>
  <c r="B96" i="28"/>
  <c r="E84" i="28"/>
  <c r="D98" i="28"/>
  <c r="D99" i="28"/>
  <c r="B46" i="28"/>
  <c r="B48" i="28" s="1"/>
  <c r="D102" i="28"/>
  <c r="C46" i="28"/>
  <c r="C48" i="28" s="1"/>
  <c r="C85" i="28" s="1"/>
  <c r="C96" i="28"/>
  <c r="C95" i="28"/>
  <c r="E48" i="28"/>
  <c r="D47" i="28"/>
  <c r="E83" i="28"/>
  <c r="H108" i="20"/>
  <c r="B85" i="20"/>
  <c r="B83" i="20"/>
  <c r="B114" i="20"/>
  <c r="D57" i="20"/>
  <c r="D94" i="20" s="1"/>
  <c r="D99" i="20"/>
  <c r="D108" i="20"/>
  <c r="D107" i="20"/>
  <c r="D104" i="20"/>
  <c r="D105" i="20"/>
  <c r="C94" i="20"/>
  <c r="C96" i="20"/>
  <c r="D98" i="20"/>
  <c r="H96" i="20"/>
  <c r="H95" i="20"/>
  <c r="C111" i="20"/>
  <c r="D114" i="20"/>
  <c r="G94" i="20"/>
  <c r="G96" i="20"/>
  <c r="E48" i="20"/>
  <c r="E85" i="20" s="1"/>
  <c r="D47" i="20"/>
  <c r="D48" i="20" s="1"/>
  <c r="D100" i="20"/>
  <c r="D88" i="20"/>
  <c r="D89" i="20"/>
  <c r="D110" i="20"/>
  <c r="D111" i="20"/>
  <c r="C84" i="20"/>
  <c r="D58" i="20"/>
  <c r="C46" i="20"/>
  <c r="C48" i="20" s="1"/>
  <c r="F85" i="20"/>
  <c r="F83" i="20"/>
  <c r="G46" i="20"/>
  <c r="G48" i="20" s="1"/>
  <c r="D99" i="6"/>
  <c r="F59" i="6"/>
  <c r="D58" i="6"/>
  <c r="D95" i="6" s="1"/>
  <c r="H95" i="6"/>
  <c r="E59" i="6"/>
  <c r="E96" i="6" s="1"/>
  <c r="C95" i="6"/>
  <c r="C96" i="6"/>
  <c r="D88" i="6"/>
  <c r="D89" i="6"/>
  <c r="D57" i="6"/>
  <c r="D94" i="6" s="1"/>
  <c r="D46" i="6"/>
  <c r="G96" i="6"/>
  <c r="G95" i="6"/>
  <c r="E48" i="6"/>
  <c r="B47" i="6"/>
  <c r="B48" i="6" s="1"/>
  <c r="D102" i="6"/>
  <c r="C83" i="6"/>
  <c r="C94" i="6"/>
  <c r="F95" i="6"/>
  <c r="E83" i="6"/>
  <c r="B83" i="6"/>
  <c r="B94" i="6"/>
  <c r="D114" i="6"/>
  <c r="D113" i="6"/>
  <c r="D98" i="6"/>
  <c r="C47" i="6"/>
  <c r="C48" i="6" s="1"/>
  <c r="E84" i="6"/>
  <c r="D87" i="6"/>
  <c r="B95" i="6"/>
  <c r="D104" i="6"/>
  <c r="D105" i="6"/>
  <c r="D108" i="6"/>
  <c r="D107" i="6"/>
  <c r="D94" i="2"/>
  <c r="D83" i="2"/>
  <c r="D105" i="2"/>
  <c r="D104" i="2"/>
  <c r="D110" i="2"/>
  <c r="D111" i="2"/>
  <c r="H85" i="2"/>
  <c r="D99" i="2"/>
  <c r="D47" i="2"/>
  <c r="D48" i="2" s="1"/>
  <c r="E84" i="2"/>
  <c r="D100" i="2"/>
  <c r="H84" i="2"/>
  <c r="F84" i="2"/>
  <c r="D114" i="2"/>
  <c r="D113" i="2"/>
  <c r="D112" i="2"/>
  <c r="D88" i="2"/>
  <c r="D89" i="2"/>
  <c r="G95" i="2"/>
  <c r="D102" i="2"/>
  <c r="C84" i="27"/>
  <c r="D102" i="27"/>
  <c r="E84" i="27"/>
  <c r="F84" i="27"/>
  <c r="D108" i="27"/>
  <c r="D107" i="27"/>
  <c r="H96" i="27"/>
  <c r="H95" i="27"/>
  <c r="E59" i="27"/>
  <c r="E96" i="27" s="1"/>
  <c r="D105" i="27"/>
  <c r="B46" i="27"/>
  <c r="B48" i="27" s="1"/>
  <c r="G59" i="27"/>
  <c r="G96" i="27" s="1"/>
  <c r="D57" i="27"/>
  <c r="B94" i="27"/>
  <c r="D104" i="27"/>
  <c r="F114" i="27"/>
  <c r="C46" i="27"/>
  <c r="C48" i="27" s="1"/>
  <c r="D58" i="27"/>
  <c r="G46" i="27"/>
  <c r="G83" i="27" s="1"/>
  <c r="D98" i="27"/>
  <c r="C96" i="27"/>
  <c r="C95" i="27"/>
  <c r="G47" i="27"/>
  <c r="C111" i="27"/>
  <c r="D110" i="27"/>
  <c r="E48" i="27"/>
  <c r="E85" i="27" s="1"/>
  <c r="E83" i="27"/>
  <c r="D102" i="19"/>
  <c r="D101" i="19"/>
  <c r="H105" i="19"/>
  <c r="H96" i="19"/>
  <c r="H103" i="19"/>
  <c r="H95" i="19"/>
  <c r="F57" i="19"/>
  <c r="F94" i="19" s="1"/>
  <c r="D114" i="19"/>
  <c r="D113" i="19"/>
  <c r="D104" i="19"/>
  <c r="D66" i="19"/>
  <c r="D68" i="19" s="1"/>
  <c r="G47" i="19"/>
  <c r="G48" i="19" s="1"/>
  <c r="G85" i="19" s="1"/>
  <c r="F105" i="19"/>
  <c r="C94" i="19"/>
  <c r="C96" i="19"/>
  <c r="F84" i="19"/>
  <c r="E84" i="19"/>
  <c r="D99" i="19"/>
  <c r="D98" i="19"/>
  <c r="D87" i="19"/>
  <c r="E57" i="19"/>
  <c r="B84" i="19"/>
  <c r="F103" i="19"/>
  <c r="G83" i="19"/>
  <c r="G94" i="19"/>
  <c r="H47" i="19"/>
  <c r="H48" i="19" s="1"/>
  <c r="D107" i="19"/>
  <c r="D108" i="19"/>
  <c r="B46" i="19"/>
  <c r="B48" i="19" s="1"/>
  <c r="C84" i="19"/>
  <c r="B96" i="19"/>
  <c r="F47" i="21"/>
  <c r="F48" i="21" s="1"/>
  <c r="G96" i="21"/>
  <c r="G94" i="21"/>
  <c r="G46" i="21"/>
  <c r="G47" i="21"/>
  <c r="C95" i="21"/>
  <c r="C96" i="21"/>
  <c r="E85" i="21"/>
  <c r="E84" i="21"/>
  <c r="D110" i="21"/>
  <c r="D111" i="21"/>
  <c r="D88" i="21"/>
  <c r="D89" i="21"/>
  <c r="F95" i="21"/>
  <c r="D105" i="21"/>
  <c r="H85" i="21"/>
  <c r="E59" i="21"/>
  <c r="E96" i="21" s="1"/>
  <c r="D97" i="21"/>
  <c r="G95" i="21"/>
  <c r="D108" i="21"/>
  <c r="D107" i="21"/>
  <c r="D98" i="21"/>
  <c r="D99" i="21"/>
  <c r="D47" i="21"/>
  <c r="D48" i="21" s="1"/>
  <c r="D114" i="21"/>
  <c r="H84" i="21"/>
  <c r="C85" i="21"/>
  <c r="C84" i="21"/>
  <c r="D58" i="10"/>
  <c r="D59" i="10" s="1"/>
  <c r="E47" i="10"/>
  <c r="E48" i="10" s="1"/>
  <c r="F84" i="10"/>
  <c r="H95" i="10"/>
  <c r="D111" i="10"/>
  <c r="C111" i="10"/>
  <c r="G84" i="10"/>
  <c r="D88" i="10"/>
  <c r="D89" i="10"/>
  <c r="D104" i="10"/>
  <c r="D105" i="10"/>
  <c r="H46" i="10"/>
  <c r="H48" i="10" s="1"/>
  <c r="D99" i="10"/>
  <c r="E99" i="10"/>
  <c r="C46" i="10"/>
  <c r="C48" i="10" s="1"/>
  <c r="D114" i="10"/>
  <c r="F59" i="10"/>
  <c r="F96" i="10" s="1"/>
  <c r="D97" i="10"/>
  <c r="B84" i="10"/>
  <c r="B85" i="10"/>
  <c r="D108" i="10"/>
  <c r="C59" i="10"/>
  <c r="C96" i="10" s="1"/>
  <c r="F48" i="10"/>
  <c r="G96" i="10"/>
  <c r="E95" i="10"/>
  <c r="E96" i="10"/>
  <c r="D47" i="10"/>
  <c r="D48" i="10" s="1"/>
  <c r="B84" i="3"/>
  <c r="B85" i="3"/>
  <c r="D113" i="3"/>
  <c r="D114" i="3"/>
  <c r="F84" i="3"/>
  <c r="F85" i="3"/>
  <c r="D98" i="3"/>
  <c r="D99" i="3"/>
  <c r="D110" i="3"/>
  <c r="H84" i="3"/>
  <c r="G96" i="3"/>
  <c r="E84" i="3"/>
  <c r="B95" i="3"/>
  <c r="B96" i="3"/>
  <c r="D112" i="3"/>
  <c r="E94" i="3"/>
  <c r="D101" i="3"/>
  <c r="D65" i="3"/>
  <c r="D104" i="3"/>
  <c r="D105" i="3"/>
  <c r="F96" i="3"/>
  <c r="D47" i="3"/>
  <c r="D48" i="3" s="1"/>
  <c r="H109" i="9"/>
  <c r="H111" i="9"/>
  <c r="G111" i="9"/>
  <c r="E57" i="9"/>
  <c r="E59" i="9" s="1"/>
  <c r="E96" i="9" s="1"/>
  <c r="E65" i="9"/>
  <c r="E102" i="9" s="1"/>
  <c r="E95" i="9"/>
  <c r="B100" i="9"/>
  <c r="D109" i="9"/>
  <c r="G87" i="9"/>
  <c r="G105" i="9"/>
  <c r="B97" i="9"/>
  <c r="C114" i="9"/>
  <c r="H97" i="9"/>
  <c r="G95" i="9"/>
  <c r="C57" i="9"/>
  <c r="C59" i="9" s="1"/>
  <c r="H112" i="9"/>
  <c r="E103" i="9"/>
  <c r="E105" i="9"/>
  <c r="B111" i="9"/>
  <c r="C100" i="9"/>
  <c r="C102" i="9"/>
  <c r="D68" i="9"/>
  <c r="G89" i="9"/>
  <c r="D63" i="9"/>
  <c r="D65" i="9" s="1"/>
  <c r="D50" i="9"/>
  <c r="H114" i="9"/>
  <c r="G100" i="9"/>
  <c r="G102" i="9"/>
  <c r="F97" i="9"/>
  <c r="F99" i="9"/>
  <c r="C87" i="9"/>
  <c r="C89" i="9"/>
  <c r="B112" i="9"/>
  <c r="D60" i="9"/>
  <c r="D62" i="9" s="1"/>
  <c r="F95" i="9"/>
  <c r="B102" i="9"/>
  <c r="H87" i="9"/>
  <c r="G57" i="9"/>
  <c r="G59" i="9" s="1"/>
  <c r="F57" i="9"/>
  <c r="F59" i="9" s="1"/>
  <c r="F46" i="9"/>
  <c r="F111" i="9"/>
  <c r="E97" i="9"/>
  <c r="G46" i="9"/>
  <c r="B99" i="9"/>
  <c r="D101" i="9"/>
  <c r="B47" i="9"/>
  <c r="B84" i="9" s="1"/>
  <c r="C99" i="9"/>
  <c r="F47" i="9"/>
  <c r="D104" i="7"/>
  <c r="D105" i="7"/>
  <c r="D58" i="7"/>
  <c r="D87" i="7"/>
  <c r="G96" i="7"/>
  <c r="G95" i="7"/>
  <c r="C96" i="7"/>
  <c r="C95" i="7"/>
  <c r="B47" i="7"/>
  <c r="D89" i="7"/>
  <c r="D88" i="7"/>
  <c r="D108" i="7"/>
  <c r="D107" i="7"/>
  <c r="B96" i="7"/>
  <c r="B94" i="7"/>
  <c r="E46" i="7"/>
  <c r="E83" i="7" s="1"/>
  <c r="D57" i="7"/>
  <c r="D114" i="7"/>
  <c r="D113" i="7"/>
  <c r="C47" i="7"/>
  <c r="C48" i="7" s="1"/>
  <c r="D102" i="7"/>
  <c r="E84" i="7"/>
  <c r="E96" i="7"/>
  <c r="D98" i="7"/>
  <c r="D110" i="9" l="1"/>
  <c r="C83" i="20"/>
  <c r="G48" i="28"/>
  <c r="G85" i="28" s="1"/>
  <c r="D59" i="20"/>
  <c r="D96" i="20" s="1"/>
  <c r="F59" i="19"/>
  <c r="F96" i="19" s="1"/>
  <c r="D77" i="9"/>
  <c r="D114" i="9" s="1"/>
  <c r="D59" i="28"/>
  <c r="D96" i="28" s="1"/>
  <c r="D48" i="28"/>
  <c r="D85" i="28" s="1"/>
  <c r="D83" i="13"/>
  <c r="B84" i="6"/>
  <c r="C94" i="9"/>
  <c r="B83" i="11"/>
  <c r="D52" i="9"/>
  <c r="D89" i="9" s="1"/>
  <c r="G48" i="27"/>
  <c r="G85" i="27" s="1"/>
  <c r="C83" i="27"/>
  <c r="H84" i="27"/>
  <c r="D100" i="9"/>
  <c r="G96" i="9"/>
  <c r="D88" i="9"/>
  <c r="D105" i="9"/>
  <c r="D104" i="9"/>
  <c r="G47" i="9"/>
  <c r="G48" i="9" s="1"/>
  <c r="H95" i="9"/>
  <c r="B46" i="9"/>
  <c r="B48" i="9" s="1"/>
  <c r="F96" i="9"/>
  <c r="D58" i="9"/>
  <c r="D95" i="9" s="1"/>
  <c r="C47" i="9"/>
  <c r="C48" i="9" s="1"/>
  <c r="D113" i="9"/>
  <c r="D111" i="9"/>
  <c r="D99" i="9"/>
  <c r="D98" i="9"/>
  <c r="D95" i="5"/>
  <c r="D96" i="5"/>
  <c r="D46" i="5"/>
  <c r="D47" i="5"/>
  <c r="H85" i="5"/>
  <c r="H84" i="5"/>
  <c r="E84" i="11"/>
  <c r="E85" i="11"/>
  <c r="D94" i="11"/>
  <c r="D83" i="11"/>
  <c r="B85" i="11"/>
  <c r="G84" i="11"/>
  <c r="G85" i="11"/>
  <c r="D95" i="11"/>
  <c r="D96" i="11"/>
  <c r="D83" i="8"/>
  <c r="F83" i="8"/>
  <c r="E48" i="8"/>
  <c r="E85" i="8" s="1"/>
  <c r="E84" i="8"/>
  <c r="H48" i="8"/>
  <c r="H85" i="8" s="1"/>
  <c r="H84" i="8"/>
  <c r="D95" i="8"/>
  <c r="D96" i="8"/>
  <c r="F48" i="8"/>
  <c r="F84" i="8"/>
  <c r="C85" i="8"/>
  <c r="C84" i="8"/>
  <c r="D47" i="8"/>
  <c r="D48" i="8" s="1"/>
  <c r="D85" i="8" s="1"/>
  <c r="B83" i="8"/>
  <c r="B85" i="8"/>
  <c r="F85" i="13"/>
  <c r="F84" i="13"/>
  <c r="D94" i="28"/>
  <c r="D95" i="28"/>
  <c r="C83" i="28"/>
  <c r="E85" i="28"/>
  <c r="G83" i="28"/>
  <c r="D84" i="28"/>
  <c r="B83" i="28"/>
  <c r="B85" i="28"/>
  <c r="G84" i="28"/>
  <c r="G83" i="20"/>
  <c r="G85" i="20"/>
  <c r="H84" i="20"/>
  <c r="H85" i="20"/>
  <c r="D95" i="20"/>
  <c r="C85" i="20"/>
  <c r="D83" i="20"/>
  <c r="F96" i="6"/>
  <c r="D47" i="6"/>
  <c r="D48" i="6" s="1"/>
  <c r="D85" i="6" s="1"/>
  <c r="D83" i="6"/>
  <c r="F84" i="6"/>
  <c r="F85" i="6"/>
  <c r="H84" i="6"/>
  <c r="H85" i="6"/>
  <c r="G84" i="6"/>
  <c r="G85" i="6"/>
  <c r="C85" i="6"/>
  <c r="C84" i="6"/>
  <c r="D59" i="6"/>
  <c r="B85" i="6"/>
  <c r="E85" i="6"/>
  <c r="D95" i="2"/>
  <c r="D96" i="2"/>
  <c r="D59" i="27"/>
  <c r="D94" i="27"/>
  <c r="D46" i="27"/>
  <c r="B83" i="27"/>
  <c r="B85" i="27"/>
  <c r="G84" i="27"/>
  <c r="D47" i="27"/>
  <c r="D95" i="27"/>
  <c r="C85" i="27"/>
  <c r="B85" i="19"/>
  <c r="D95" i="19"/>
  <c r="D105" i="19"/>
  <c r="E94" i="19"/>
  <c r="E59" i="19"/>
  <c r="E96" i="19" s="1"/>
  <c r="B83" i="19"/>
  <c r="D103" i="19"/>
  <c r="H83" i="19"/>
  <c r="H94" i="19"/>
  <c r="D57" i="19"/>
  <c r="D59" i="19" s="1"/>
  <c r="D96" i="19" s="1"/>
  <c r="D47" i="19"/>
  <c r="E46" i="19"/>
  <c r="G84" i="19"/>
  <c r="C83" i="19"/>
  <c r="C85" i="19"/>
  <c r="H84" i="19"/>
  <c r="H85" i="19"/>
  <c r="D85" i="21"/>
  <c r="D84" i="21"/>
  <c r="D95" i="21"/>
  <c r="D96" i="21"/>
  <c r="D94" i="21"/>
  <c r="D83" i="21"/>
  <c r="G48" i="21"/>
  <c r="G85" i="21" s="1"/>
  <c r="G84" i="21"/>
  <c r="G83" i="21"/>
  <c r="F85" i="21"/>
  <c r="F84" i="21"/>
  <c r="C83" i="10"/>
  <c r="C85" i="10"/>
  <c r="D94" i="10"/>
  <c r="D83" i="10"/>
  <c r="F85" i="10"/>
  <c r="H83" i="10"/>
  <c r="H85" i="10"/>
  <c r="E85" i="10"/>
  <c r="E84" i="10"/>
  <c r="D95" i="10"/>
  <c r="D96" i="10"/>
  <c r="D95" i="3"/>
  <c r="D96" i="3"/>
  <c r="D94" i="3"/>
  <c r="D83" i="3"/>
  <c r="D102" i="3"/>
  <c r="E83" i="3"/>
  <c r="E85" i="3"/>
  <c r="H46" i="9"/>
  <c r="H48" i="9" s="1"/>
  <c r="D87" i="9"/>
  <c r="H94" i="9"/>
  <c r="H96" i="9"/>
  <c r="B94" i="9"/>
  <c r="B96" i="9"/>
  <c r="F94" i="9"/>
  <c r="C96" i="9"/>
  <c r="G94" i="9"/>
  <c r="E46" i="9"/>
  <c r="E48" i="9" s="1"/>
  <c r="E85" i="9" s="1"/>
  <c r="D46" i="9"/>
  <c r="F48" i="9"/>
  <c r="D97" i="9"/>
  <c r="D57" i="9"/>
  <c r="D102" i="9"/>
  <c r="E94" i="9"/>
  <c r="E84" i="9"/>
  <c r="D47" i="7"/>
  <c r="D59" i="7"/>
  <c r="D96" i="7" s="1"/>
  <c r="G84" i="7"/>
  <c r="G85" i="7"/>
  <c r="D94" i="7"/>
  <c r="D95" i="7"/>
  <c r="B83" i="7"/>
  <c r="B48" i="7"/>
  <c r="B85" i="7" s="1"/>
  <c r="B84" i="7"/>
  <c r="D46" i="7"/>
  <c r="D83" i="7" s="1"/>
  <c r="E48" i="7"/>
  <c r="E85" i="7" s="1"/>
  <c r="C85" i="7"/>
  <c r="C84" i="7"/>
  <c r="D94" i="19" l="1"/>
  <c r="D48" i="7"/>
  <c r="D85" i="7" s="1"/>
  <c r="D84" i="8"/>
  <c r="D48" i="5"/>
  <c r="D85" i="5" s="1"/>
  <c r="H83" i="9"/>
  <c r="C84" i="9"/>
  <c r="D59" i="9"/>
  <c r="D96" i="9" s="1"/>
  <c r="D47" i="9"/>
  <c r="D48" i="9" s="1"/>
  <c r="D85" i="9" s="1"/>
  <c r="F84" i="9"/>
  <c r="H84" i="9"/>
  <c r="G84" i="9"/>
  <c r="D84" i="5"/>
  <c r="D83" i="5"/>
  <c r="D84" i="11"/>
  <c r="D85" i="11"/>
  <c r="F85" i="8"/>
  <c r="D85" i="20"/>
  <c r="D84" i="20"/>
  <c r="D96" i="6"/>
  <c r="D84" i="6"/>
  <c r="D85" i="2"/>
  <c r="D84" i="2"/>
  <c r="D84" i="27"/>
  <c r="D96" i="27"/>
  <c r="D83" i="27"/>
  <c r="D48" i="27"/>
  <c r="D85" i="27" s="1"/>
  <c r="D46" i="19"/>
  <c r="D83" i="19" s="1"/>
  <c r="D84" i="19"/>
  <c r="E48" i="19"/>
  <c r="E85" i="19" s="1"/>
  <c r="E83" i="19"/>
  <c r="D85" i="10"/>
  <c r="D84" i="10"/>
  <c r="D84" i="3"/>
  <c r="D85" i="3"/>
  <c r="B83" i="9"/>
  <c r="B85" i="9"/>
  <c r="C83" i="9"/>
  <c r="C85" i="9"/>
  <c r="E83" i="9"/>
  <c r="D83" i="9"/>
  <c r="G83" i="9"/>
  <c r="G85" i="9"/>
  <c r="F83" i="9"/>
  <c r="F85" i="9"/>
  <c r="D94" i="9"/>
  <c r="H85" i="9"/>
  <c r="D84" i="7"/>
  <c r="D48" i="19" l="1"/>
  <c r="D85" i="19" s="1"/>
  <c r="D84" i="9"/>
  <c r="F20" i="29" l="1"/>
  <c r="F17" i="29"/>
  <c r="F15" i="29"/>
  <c r="F14" i="29"/>
  <c r="F19" i="29"/>
  <c r="F18" i="29"/>
  <c r="F16" i="29"/>
  <c r="F13" i="29"/>
  <c r="H13" i="29" s="1"/>
  <c r="F4" i="29"/>
  <c r="F12" i="29"/>
  <c r="F11" i="29"/>
  <c r="F9" i="29"/>
  <c r="F7" i="29"/>
  <c r="F6" i="29"/>
  <c r="F5" i="29"/>
  <c r="C20" i="29"/>
  <c r="C17" i="29"/>
  <c r="C15" i="29"/>
  <c r="C14" i="29"/>
  <c r="C19" i="29"/>
  <c r="C18" i="29"/>
  <c r="C16" i="29"/>
  <c r="C13" i="29"/>
  <c r="C4" i="29"/>
  <c r="C12" i="29"/>
  <c r="C11" i="29"/>
  <c r="C9" i="29"/>
  <c r="C8" i="29"/>
  <c r="C7" i="29"/>
  <c r="C6" i="29"/>
  <c r="C5" i="29"/>
  <c r="AQ9" i="25" l="1"/>
  <c r="AG9" i="25"/>
  <c r="AF9" i="25"/>
  <c r="AC9" i="25"/>
  <c r="AB9" i="25"/>
  <c r="V9" i="25"/>
  <c r="AE9" i="25"/>
  <c r="Y9" i="25"/>
  <c r="AK9" i="25"/>
  <c r="AM32" i="25"/>
  <c r="H26" i="25"/>
  <c r="AD17" i="25"/>
  <c r="AD35" i="25"/>
  <c r="U23" i="25"/>
  <c r="AN9" i="25"/>
  <c r="E35" i="25"/>
  <c r="AD29" i="25"/>
  <c r="U38" i="25"/>
  <c r="AM36" i="25"/>
  <c r="AM33" i="25"/>
  <c r="AD16" i="25"/>
  <c r="H20" i="29"/>
  <c r="G20" i="29"/>
  <c r="D20" i="29"/>
  <c r="H17" i="29"/>
  <c r="G17" i="29"/>
  <c r="D17" i="29"/>
  <c r="H15" i="29"/>
  <c r="G15" i="29"/>
  <c r="D15" i="29"/>
  <c r="H14" i="29"/>
  <c r="G14" i="29"/>
  <c r="D14" i="29"/>
  <c r="H19" i="29"/>
  <c r="G19" i="29"/>
  <c r="D19" i="29"/>
  <c r="H18" i="29"/>
  <c r="G18" i="29"/>
  <c r="D18" i="29"/>
  <c r="H16" i="29"/>
  <c r="G16" i="29"/>
  <c r="D16" i="29"/>
  <c r="G13" i="29"/>
  <c r="D13" i="29"/>
  <c r="H4" i="29"/>
  <c r="G4" i="29"/>
  <c r="D4" i="29"/>
  <c r="H12" i="29"/>
  <c r="G12" i="29"/>
  <c r="D12" i="29"/>
  <c r="H11" i="29"/>
  <c r="G11" i="29"/>
  <c r="D11" i="29"/>
  <c r="H9" i="29"/>
  <c r="G9" i="29"/>
  <c r="D9" i="29"/>
  <c r="D8" i="29"/>
  <c r="H7" i="29"/>
  <c r="G7" i="29"/>
  <c r="D7" i="29"/>
  <c r="H6" i="29"/>
  <c r="G6" i="29"/>
  <c r="D6" i="29"/>
  <c r="H5" i="29"/>
  <c r="G5" i="29"/>
  <c r="D5" i="29"/>
  <c r="B18" i="25"/>
  <c r="Y17" i="25"/>
  <c r="AO16" i="25"/>
  <c r="AQ39" i="25"/>
  <c r="AP39" i="25"/>
  <c r="AO39" i="25"/>
  <c r="AN39" i="25"/>
  <c r="AK39" i="25"/>
  <c r="AQ38" i="25"/>
  <c r="AP38" i="25"/>
  <c r="AO38" i="25"/>
  <c r="AN38" i="25"/>
  <c r="AL38" i="25"/>
  <c r="AK38" i="25"/>
  <c r="AQ36" i="25"/>
  <c r="AP36" i="25"/>
  <c r="AO36" i="25"/>
  <c r="AN36" i="25"/>
  <c r="AL36" i="25"/>
  <c r="AK36" i="25"/>
  <c r="AQ35" i="25"/>
  <c r="AP35" i="25"/>
  <c r="AO35" i="25"/>
  <c r="AN35" i="25"/>
  <c r="AL35" i="25"/>
  <c r="AK35" i="25"/>
  <c r="AQ33" i="25"/>
  <c r="AP33" i="25"/>
  <c r="AO33" i="25"/>
  <c r="AN33" i="25"/>
  <c r="AL33" i="25"/>
  <c r="AK33" i="25"/>
  <c r="AQ32" i="25"/>
  <c r="AP32" i="25"/>
  <c r="AO32" i="25"/>
  <c r="AN32" i="25"/>
  <c r="AL32" i="25"/>
  <c r="AK32" i="25"/>
  <c r="AQ30" i="25"/>
  <c r="AP30" i="25"/>
  <c r="AO30" i="25"/>
  <c r="AN30" i="25"/>
  <c r="AL30" i="25"/>
  <c r="AK30" i="25"/>
  <c r="AQ29" i="25"/>
  <c r="AP29" i="25"/>
  <c r="AO29" i="25"/>
  <c r="AN29" i="25"/>
  <c r="AL29" i="25"/>
  <c r="AK29" i="25"/>
  <c r="AQ27" i="25"/>
  <c r="AP27" i="25"/>
  <c r="AO27" i="25"/>
  <c r="AN27" i="25"/>
  <c r="AL27" i="25"/>
  <c r="AK27" i="25"/>
  <c r="AQ26" i="25"/>
  <c r="AP26" i="25"/>
  <c r="AO26" i="25"/>
  <c r="AN26" i="25"/>
  <c r="AL26" i="25"/>
  <c r="AK26" i="25"/>
  <c r="AQ24" i="25"/>
  <c r="AO24" i="25"/>
  <c r="AL24" i="25"/>
  <c r="AK24" i="25"/>
  <c r="AQ23" i="25"/>
  <c r="AP23" i="25"/>
  <c r="AO23" i="25"/>
  <c r="AN23" i="25"/>
  <c r="AL23" i="25"/>
  <c r="AK23" i="25"/>
  <c r="AQ18" i="25"/>
  <c r="AO18" i="25"/>
  <c r="AN18" i="25"/>
  <c r="AL18" i="25"/>
  <c r="AK18" i="25"/>
  <c r="AP17" i="25"/>
  <c r="AN17" i="25"/>
  <c r="AL17" i="25"/>
  <c r="AK17" i="25"/>
  <c r="AP16" i="25"/>
  <c r="AN16" i="25"/>
  <c r="AL16" i="25"/>
  <c r="AK16" i="25"/>
  <c r="AQ14" i="25"/>
  <c r="AO14" i="25"/>
  <c r="AK14" i="25"/>
  <c r="AQ13" i="25"/>
  <c r="AP13" i="25"/>
  <c r="AO13" i="25"/>
  <c r="AN13" i="25"/>
  <c r="AL13" i="25"/>
  <c r="AK13" i="25"/>
  <c r="AH39" i="25"/>
  <c r="AG39" i="25"/>
  <c r="AF39" i="25"/>
  <c r="AE39" i="25"/>
  <c r="AC39" i="25"/>
  <c r="AB39" i="25"/>
  <c r="AH38" i="25"/>
  <c r="AG38" i="25"/>
  <c r="AF38" i="25"/>
  <c r="AE38" i="25"/>
  <c r="AC38" i="25"/>
  <c r="AB38" i="25"/>
  <c r="AH36" i="25"/>
  <c r="AG36" i="25"/>
  <c r="AF36" i="25"/>
  <c r="AE36" i="25"/>
  <c r="AC36" i="25"/>
  <c r="AB36" i="25"/>
  <c r="AH35" i="25"/>
  <c r="AG35" i="25"/>
  <c r="AF35" i="25"/>
  <c r="AE35" i="25"/>
  <c r="AC35" i="25"/>
  <c r="AB35" i="25"/>
  <c r="AH33" i="25"/>
  <c r="AG33" i="25"/>
  <c r="AF33" i="25"/>
  <c r="AE33" i="25"/>
  <c r="AC33" i="25"/>
  <c r="AB33" i="25"/>
  <c r="AH32" i="25"/>
  <c r="AG32" i="25"/>
  <c r="AF32" i="25"/>
  <c r="AE32" i="25"/>
  <c r="AC32" i="25"/>
  <c r="AB32" i="25"/>
  <c r="AH30" i="25"/>
  <c r="AG30" i="25"/>
  <c r="AF30" i="25"/>
  <c r="AE30" i="25"/>
  <c r="AC30" i="25"/>
  <c r="AH29" i="25"/>
  <c r="AG29" i="25"/>
  <c r="AF29" i="25"/>
  <c r="AE29" i="25"/>
  <c r="AC29" i="25"/>
  <c r="AB29" i="25"/>
  <c r="AH27" i="25"/>
  <c r="AG27" i="25"/>
  <c r="AF27" i="25"/>
  <c r="AE27" i="25"/>
  <c r="AC27" i="25"/>
  <c r="AB27" i="25"/>
  <c r="AH26" i="25"/>
  <c r="AG26" i="25"/>
  <c r="AF26" i="25"/>
  <c r="AE26" i="25"/>
  <c r="AC26" i="25"/>
  <c r="AB26" i="25"/>
  <c r="AG24" i="25"/>
  <c r="AH23" i="25"/>
  <c r="AG23" i="25"/>
  <c r="AF23" i="25"/>
  <c r="AE23" i="25"/>
  <c r="AC23" i="25"/>
  <c r="AB23" i="25"/>
  <c r="AH18" i="25"/>
  <c r="AG18" i="25"/>
  <c r="AF18" i="25"/>
  <c r="AE18" i="25"/>
  <c r="AC18" i="25"/>
  <c r="AB18" i="25"/>
  <c r="AH17" i="25"/>
  <c r="AG17" i="25"/>
  <c r="AF17" i="25"/>
  <c r="AE17" i="25"/>
  <c r="AC17" i="25"/>
  <c r="AB17" i="25"/>
  <c r="AH16" i="25"/>
  <c r="AG16" i="25"/>
  <c r="AF16" i="25"/>
  <c r="AE16" i="25"/>
  <c r="AC16" i="25"/>
  <c r="AB16" i="25"/>
  <c r="AH14" i="25"/>
  <c r="AG14" i="25"/>
  <c r="AF14" i="25"/>
  <c r="AE14" i="25"/>
  <c r="AC14" i="25"/>
  <c r="AB14" i="25"/>
  <c r="AH13" i="25"/>
  <c r="AG13" i="25"/>
  <c r="AF13" i="25"/>
  <c r="AE13" i="25"/>
  <c r="AC13" i="25"/>
  <c r="AB13" i="25"/>
  <c r="Y39" i="25"/>
  <c r="X39" i="25"/>
  <c r="W39" i="25"/>
  <c r="V39" i="25"/>
  <c r="T39" i="25"/>
  <c r="S39" i="25"/>
  <c r="Y38" i="25"/>
  <c r="X38" i="25"/>
  <c r="W38" i="25"/>
  <c r="V38" i="25"/>
  <c r="T38" i="25"/>
  <c r="S38" i="25"/>
  <c r="X36" i="25"/>
  <c r="W36" i="25"/>
  <c r="V36" i="25"/>
  <c r="T36" i="25"/>
  <c r="Y35" i="25"/>
  <c r="X35" i="25"/>
  <c r="W35" i="25"/>
  <c r="V35" i="25"/>
  <c r="Y33" i="25"/>
  <c r="X33" i="25"/>
  <c r="W33" i="25"/>
  <c r="V33" i="25"/>
  <c r="T33" i="25"/>
  <c r="S33" i="25"/>
  <c r="Y32" i="25"/>
  <c r="X32" i="25"/>
  <c r="W32" i="25"/>
  <c r="V32" i="25"/>
  <c r="T32" i="25"/>
  <c r="S32" i="25"/>
  <c r="Y30" i="25"/>
  <c r="X30" i="25"/>
  <c r="W30" i="25"/>
  <c r="S30" i="25"/>
  <c r="X29" i="25"/>
  <c r="W29" i="25"/>
  <c r="V29" i="25"/>
  <c r="T29" i="25"/>
  <c r="S29" i="25"/>
  <c r="Y27" i="25"/>
  <c r="X27" i="25"/>
  <c r="W27" i="25"/>
  <c r="V27" i="25"/>
  <c r="T27" i="25"/>
  <c r="S27" i="25"/>
  <c r="Y26" i="25"/>
  <c r="X26" i="25"/>
  <c r="W26" i="25"/>
  <c r="V26" i="25"/>
  <c r="T26" i="25"/>
  <c r="S26" i="25"/>
  <c r="Y24" i="25"/>
  <c r="X24" i="25"/>
  <c r="V24" i="25"/>
  <c r="S24" i="25"/>
  <c r="Y23" i="25"/>
  <c r="V23" i="25"/>
  <c r="T23" i="25"/>
  <c r="Y18" i="25"/>
  <c r="X18" i="25"/>
  <c r="W18" i="25"/>
  <c r="V18" i="25"/>
  <c r="T18" i="25"/>
  <c r="S18" i="25"/>
  <c r="X17" i="25"/>
  <c r="W17" i="25"/>
  <c r="V17" i="25"/>
  <c r="T17" i="25"/>
  <c r="S17" i="25"/>
  <c r="Y16" i="25"/>
  <c r="X16" i="25"/>
  <c r="W16" i="25"/>
  <c r="V16" i="25"/>
  <c r="T16" i="25"/>
  <c r="S16" i="25"/>
  <c r="Y14" i="25"/>
  <c r="X14" i="25"/>
  <c r="W14" i="25"/>
  <c r="V14" i="25"/>
  <c r="T14" i="25"/>
  <c r="S14" i="25"/>
  <c r="Y13" i="25"/>
  <c r="X13" i="25"/>
  <c r="W13" i="25"/>
  <c r="V13" i="25"/>
  <c r="T13" i="25"/>
  <c r="S13" i="25"/>
  <c r="Q39" i="25"/>
  <c r="P39" i="25"/>
  <c r="O39" i="25"/>
  <c r="N39" i="25"/>
  <c r="L39" i="25"/>
  <c r="K39" i="25"/>
  <c r="Q38" i="25"/>
  <c r="P38" i="25"/>
  <c r="O38" i="25"/>
  <c r="N38" i="25"/>
  <c r="L38" i="25"/>
  <c r="K38" i="25"/>
  <c r="Q36" i="25"/>
  <c r="P36" i="25"/>
  <c r="O36" i="25"/>
  <c r="N36" i="25"/>
  <c r="L36" i="25"/>
  <c r="K36" i="25"/>
  <c r="Q35" i="25"/>
  <c r="P35" i="25"/>
  <c r="O35" i="25"/>
  <c r="N35" i="25"/>
  <c r="L35" i="25"/>
  <c r="K35" i="25"/>
  <c r="Q33" i="25"/>
  <c r="P33" i="25"/>
  <c r="O33" i="25"/>
  <c r="N33" i="25"/>
  <c r="L33" i="25"/>
  <c r="K33" i="25"/>
  <c r="Q32" i="25"/>
  <c r="P32" i="25"/>
  <c r="O32" i="25"/>
  <c r="N32" i="25"/>
  <c r="L32" i="25"/>
  <c r="K32" i="25"/>
  <c r="Q30" i="25"/>
  <c r="P30" i="25"/>
  <c r="N30" i="25"/>
  <c r="L30" i="25"/>
  <c r="Q29" i="25"/>
  <c r="P29" i="25"/>
  <c r="O29" i="25"/>
  <c r="N29" i="25"/>
  <c r="L29" i="25"/>
  <c r="K29" i="25"/>
  <c r="Q27" i="25"/>
  <c r="P27" i="25"/>
  <c r="O27" i="25"/>
  <c r="N27" i="25"/>
  <c r="L27" i="25"/>
  <c r="K27" i="25"/>
  <c r="Q26" i="25"/>
  <c r="P26" i="25"/>
  <c r="O26" i="25"/>
  <c r="N26" i="25"/>
  <c r="K26" i="25"/>
  <c r="P24" i="25"/>
  <c r="O24" i="25"/>
  <c r="N24" i="25"/>
  <c r="L24" i="25"/>
  <c r="Q23" i="25"/>
  <c r="P23" i="25"/>
  <c r="O23" i="25"/>
  <c r="L23" i="25"/>
  <c r="K23" i="25"/>
  <c r="P18" i="25"/>
  <c r="O18" i="25"/>
  <c r="N18" i="25"/>
  <c r="L18" i="25"/>
  <c r="K18" i="25"/>
  <c r="Q17" i="25"/>
  <c r="P17" i="25"/>
  <c r="O17" i="25"/>
  <c r="N17" i="25"/>
  <c r="K17" i="25"/>
  <c r="Q16" i="25"/>
  <c r="P16" i="25"/>
  <c r="O16" i="25"/>
  <c r="N16" i="25"/>
  <c r="L16" i="25"/>
  <c r="K16" i="25"/>
  <c r="P14" i="25"/>
  <c r="N14" i="25"/>
  <c r="L14" i="25"/>
  <c r="Q13" i="25"/>
  <c r="P13" i="25"/>
  <c r="O13" i="25"/>
  <c r="N13" i="25"/>
  <c r="L13" i="25"/>
  <c r="K13" i="25"/>
  <c r="H93" i="25"/>
  <c r="G93" i="25"/>
  <c r="F93" i="25"/>
  <c r="E93" i="25"/>
  <c r="D93" i="25"/>
  <c r="C93" i="25"/>
  <c r="B93" i="25"/>
  <c r="H86" i="25"/>
  <c r="G86" i="25"/>
  <c r="F86" i="25"/>
  <c r="E86" i="25"/>
  <c r="D86" i="25"/>
  <c r="C86" i="25"/>
  <c r="B86" i="25"/>
  <c r="H33" i="25"/>
  <c r="AN24" i="25"/>
  <c r="AL39" i="25"/>
  <c r="AP14" i="25"/>
  <c r="AP24" i="25"/>
  <c r="AN14" i="25"/>
  <c r="K14" i="25"/>
  <c r="O14" i="25"/>
  <c r="AQ17" i="25"/>
  <c r="K24" i="25"/>
  <c r="T24" i="25"/>
  <c r="S36" i="25"/>
  <c r="Q14" i="25"/>
  <c r="AL14" i="25"/>
  <c r="AQ16" i="25"/>
  <c r="Q24" i="25"/>
  <c r="AC20" i="25"/>
  <c r="L17" i="25"/>
  <c r="Q18" i="25"/>
  <c r="AO17" i="25"/>
  <c r="AP18" i="25"/>
  <c r="AB20" i="25"/>
  <c r="AD13" i="25"/>
  <c r="M33" i="25"/>
  <c r="AD23" i="25"/>
  <c r="M39" i="25"/>
  <c r="AD33" i="25"/>
  <c r="G17" i="25"/>
  <c r="AM38" i="25"/>
  <c r="H16" i="25"/>
  <c r="AK20" i="25"/>
  <c r="B36" i="25"/>
  <c r="N23" i="25"/>
  <c r="S23" i="25"/>
  <c r="X23" i="25"/>
  <c r="L26" i="25"/>
  <c r="T35" i="25"/>
  <c r="C23" i="25"/>
  <c r="S35" i="25"/>
  <c r="W23" i="25"/>
  <c r="U26" i="25"/>
  <c r="G13" i="25"/>
  <c r="K20" i="25"/>
  <c r="F26" i="25"/>
  <c r="AO21" i="25"/>
  <c r="E16" i="25"/>
  <c r="V20" i="25"/>
  <c r="U18" i="25"/>
  <c r="F18" i="25"/>
  <c r="G29" i="25"/>
  <c r="AM17" i="25"/>
  <c r="G23" i="25"/>
  <c r="C35" i="25"/>
  <c r="M35" i="25"/>
  <c r="N20" i="25"/>
  <c r="H13" i="25"/>
  <c r="M26" i="25"/>
  <c r="C32" i="25"/>
  <c r="E26" i="25"/>
  <c r="Y29" i="25"/>
  <c r="S20" i="25"/>
  <c r="F23" i="25"/>
  <c r="AD38" i="25"/>
  <c r="B35" i="25"/>
  <c r="U27" i="25"/>
  <c r="C38" i="25"/>
  <c r="U16" i="25"/>
  <c r="AM18" i="25"/>
  <c r="AH20" i="25"/>
  <c r="G32" i="25"/>
  <c r="AD32" i="25"/>
  <c r="O30" i="25"/>
  <c r="T30" i="25"/>
  <c r="K30" i="25"/>
  <c r="V30" i="25"/>
  <c r="AB30" i="25"/>
  <c r="X21" i="25"/>
  <c r="G39" i="25"/>
  <c r="H29" i="25"/>
  <c r="U30" i="25"/>
  <c r="M23" i="25"/>
  <c r="F30" i="25"/>
  <c r="C13" i="25"/>
  <c r="E17" i="25"/>
  <c r="M17" i="25"/>
  <c r="Y20" i="25"/>
  <c r="AF20" i="25"/>
  <c r="E23" i="25"/>
  <c r="AD26" i="25"/>
  <c r="E18" i="25"/>
  <c r="M18" i="25"/>
  <c r="U17" i="25"/>
  <c r="M36" i="25"/>
  <c r="M16" i="25"/>
  <c r="B17" i="25"/>
  <c r="AG20" i="25"/>
  <c r="AQ20" i="25"/>
  <c r="E36" i="25"/>
  <c r="K21" i="25"/>
  <c r="H17" i="25"/>
  <c r="B27" i="25"/>
  <c r="H18" i="25"/>
  <c r="G38" i="25"/>
  <c r="AM39" i="25"/>
  <c r="H35" i="25"/>
  <c r="AM35" i="25"/>
  <c r="B29" i="25"/>
  <c r="AP20" i="25"/>
  <c r="F29" i="25"/>
  <c r="AM13" i="25"/>
  <c r="AN20" i="25"/>
  <c r="AM29" i="25"/>
  <c r="B13" i="25"/>
  <c r="P21" i="25"/>
  <c r="U35" i="25"/>
  <c r="Q20" i="25"/>
  <c r="C17" i="25"/>
  <c r="F38" i="25"/>
  <c r="B33" i="25"/>
  <c r="E32" i="25"/>
  <c r="B38" i="25"/>
  <c r="E13" i="25"/>
  <c r="M13" i="25"/>
  <c r="U33" i="25"/>
  <c r="M32" i="25"/>
  <c r="C39" i="25"/>
  <c r="AE20" i="25"/>
  <c r="G26" i="25"/>
  <c r="W24" i="25"/>
  <c r="Y36" i="25"/>
  <c r="B26" i="25"/>
  <c r="AL20" i="25"/>
  <c r="F27" i="25"/>
  <c r="G35" i="25"/>
  <c r="W21" i="25"/>
  <c r="AH9" i="25"/>
  <c r="U24" i="25"/>
  <c r="E24" i="25"/>
  <c r="M29" i="25"/>
  <c r="E38" i="25"/>
  <c r="AM16" i="25"/>
  <c r="E29" i="25"/>
  <c r="B30" i="25"/>
  <c r="G16" i="25"/>
  <c r="F32" i="25"/>
  <c r="U32" i="25"/>
  <c r="C24" i="25"/>
  <c r="B32" i="25"/>
  <c r="B23" i="25"/>
  <c r="C29" i="25"/>
  <c r="AD18" i="25"/>
  <c r="C16" i="25"/>
  <c r="AK21" i="25"/>
  <c r="X9" i="25"/>
  <c r="X20" i="25"/>
  <c r="AO20" i="25"/>
  <c r="AP21" i="25"/>
  <c r="AM26" i="25"/>
  <c r="AM14" i="25"/>
  <c r="C26" i="25"/>
  <c r="H23" i="25"/>
  <c r="F24" i="25"/>
  <c r="AD36" i="25"/>
  <c r="F13" i="25"/>
  <c r="U13" i="25"/>
  <c r="AN21" i="25"/>
  <c r="O9" i="25"/>
  <c r="L21" i="25"/>
  <c r="T20" i="25"/>
  <c r="F35" i="25"/>
  <c r="O20" i="25"/>
  <c r="G14" i="25"/>
  <c r="B16" i="25"/>
  <c r="G18" i="25"/>
  <c r="C18" i="25"/>
  <c r="E27" i="25"/>
  <c r="M38" i="25"/>
  <c r="Y10" i="25"/>
  <c r="Y21" i="25"/>
  <c r="AE21" i="25"/>
  <c r="AE24" i="25"/>
  <c r="AM24" i="25"/>
  <c r="AH24" i="25"/>
  <c r="V21" i="25"/>
  <c r="H24" i="25"/>
  <c r="P10" i="25"/>
  <c r="AK10" i="25"/>
  <c r="U20" i="25"/>
  <c r="K9" i="25"/>
  <c r="T9" i="25"/>
  <c r="AN10" i="25"/>
  <c r="F16" i="25"/>
  <c r="G27" i="25"/>
  <c r="H32" i="25"/>
  <c r="F17" i="25"/>
  <c r="L20" i="25"/>
  <c r="P20" i="25"/>
  <c r="AM23" i="25"/>
  <c r="H38" i="25"/>
  <c r="W20" i="25"/>
  <c r="U29" i="25"/>
  <c r="D17" i="25"/>
  <c r="D16" i="25"/>
  <c r="F20" i="25"/>
  <c r="P9" i="25"/>
  <c r="C33" i="25"/>
  <c r="G33" i="25"/>
  <c r="T21" i="25"/>
  <c r="F33" i="25"/>
  <c r="AH21" i="25"/>
  <c r="E33" i="25"/>
  <c r="D33" i="25"/>
  <c r="S21" i="25"/>
  <c r="AD27" i="25"/>
  <c r="F36" i="25"/>
  <c r="H36" i="25"/>
  <c r="U14" i="25"/>
  <c r="N21" i="25"/>
  <c r="M30" i="25"/>
  <c r="AQ21" i="25"/>
  <c r="AM30" i="25"/>
  <c r="M20" i="25"/>
  <c r="D18" i="25"/>
  <c r="F14" i="25"/>
  <c r="B14" i="25"/>
  <c r="X10" i="25"/>
  <c r="AB24" i="25"/>
  <c r="AC24" i="25"/>
  <c r="M24" i="25"/>
  <c r="AO9" i="25"/>
  <c r="AP9" i="25"/>
  <c r="L9" i="25"/>
  <c r="AF24" i="25"/>
  <c r="M9" i="25"/>
  <c r="AL9" i="25"/>
  <c r="S10" i="25"/>
  <c r="D23" i="25"/>
  <c r="W10" i="25"/>
  <c r="D38" i="25"/>
  <c r="D32" i="25"/>
  <c r="AD30" i="25"/>
  <c r="M27" i="25"/>
  <c r="AG10" i="25"/>
  <c r="E39" i="25"/>
  <c r="H30" i="25"/>
  <c r="M14" i="25"/>
  <c r="AD39" i="25"/>
  <c r="E30" i="25"/>
  <c r="U39" i="25"/>
  <c r="AM27" i="25"/>
  <c r="H39" i="25"/>
  <c r="AF21" i="25"/>
  <c r="E14" i="25"/>
  <c r="B39" i="25"/>
  <c r="C27" i="25"/>
  <c r="C30" i="25"/>
  <c r="G30" i="25"/>
  <c r="H27" i="25"/>
  <c r="AL21" i="25"/>
  <c r="AQ10" i="25"/>
  <c r="C14" i="25"/>
  <c r="AD14" i="25"/>
  <c r="AG21" i="25"/>
  <c r="Q21" i="25"/>
  <c r="F39" i="25"/>
  <c r="D14" i="25"/>
  <c r="AD24" i="25"/>
  <c r="G24" i="25"/>
  <c r="AB21" i="25"/>
  <c r="O21" i="25"/>
  <c r="AC21" i="25"/>
  <c r="H14" i="25"/>
  <c r="B24" i="25"/>
  <c r="H20" i="25"/>
  <c r="O10" i="25"/>
  <c r="AC10" i="25"/>
  <c r="M21" i="25"/>
  <c r="W9" i="25"/>
  <c r="AD9" i="25"/>
  <c r="AD20" i="25"/>
  <c r="S9" i="25"/>
  <c r="AH10" i="25"/>
  <c r="AM9" i="25"/>
  <c r="F9" i="25"/>
  <c r="N10" i="25"/>
  <c r="D35" i="25"/>
  <c r="Q9" i="25"/>
  <c r="K10" i="25"/>
  <c r="AM20" i="25"/>
  <c r="N9" i="25"/>
  <c r="M31" i="25" l="1"/>
  <c r="AL31" i="25"/>
  <c r="AM34" i="25"/>
  <c r="F15" i="25"/>
  <c r="F67" i="25"/>
  <c r="F104" i="25" s="1"/>
  <c r="H37" i="25"/>
  <c r="AE40" i="25"/>
  <c r="Y11" i="25"/>
  <c r="AE28" i="25"/>
  <c r="AO37" i="25"/>
  <c r="E34" i="25"/>
  <c r="AD31" i="25"/>
  <c r="B40" i="25"/>
  <c r="F28" i="25"/>
  <c r="AF22" i="25"/>
  <c r="S22" i="25"/>
  <c r="M28" i="25"/>
  <c r="AH22" i="25"/>
  <c r="X28" i="25"/>
  <c r="AE22" i="25"/>
  <c r="P25" i="25"/>
  <c r="AD28" i="25"/>
  <c r="B31" i="25"/>
  <c r="E25" i="25"/>
  <c r="F31" i="25"/>
  <c r="AD15" i="25"/>
  <c r="X40" i="25"/>
  <c r="AB15" i="25"/>
  <c r="AE25" i="25"/>
  <c r="G40" i="25"/>
  <c r="C40" i="25"/>
  <c r="AK11" i="25"/>
  <c r="Y22" i="25"/>
  <c r="C25" i="25"/>
  <c r="O22" i="25"/>
  <c r="H31" i="25"/>
  <c r="F53" i="25"/>
  <c r="F90" i="25" s="1"/>
  <c r="B55" i="25"/>
  <c r="B92" i="25" s="1"/>
  <c r="Q34" i="25"/>
  <c r="T15" i="25"/>
  <c r="S34" i="25"/>
  <c r="AF28" i="25"/>
  <c r="AG34" i="25"/>
  <c r="AB37" i="25"/>
  <c r="AG40" i="25"/>
  <c r="AK15" i="25"/>
  <c r="AQ15" i="25"/>
  <c r="AK28" i="25"/>
  <c r="AP31" i="25"/>
  <c r="AK34" i="25"/>
  <c r="AP37" i="25"/>
  <c r="AK40" i="25"/>
  <c r="G67" i="25"/>
  <c r="G104" i="25" s="1"/>
  <c r="B70" i="25"/>
  <c r="B107" i="25" s="1"/>
  <c r="AQ40" i="25"/>
  <c r="E66" i="25"/>
  <c r="E103" i="25" s="1"/>
  <c r="AB25" i="25"/>
  <c r="T31" i="25"/>
  <c r="M40" i="25"/>
  <c r="L15" i="25"/>
  <c r="C66" i="25"/>
  <c r="C103" i="25" s="1"/>
  <c r="Q31" i="25"/>
  <c r="W15" i="25"/>
  <c r="Y25" i="25"/>
  <c r="AE15" i="25"/>
  <c r="AH28" i="25"/>
  <c r="AG31" i="25"/>
  <c r="AE37" i="25"/>
  <c r="AN34" i="25"/>
  <c r="C72" i="25"/>
  <c r="C109" i="25" s="1"/>
  <c r="E60" i="25"/>
  <c r="E97" i="25" s="1"/>
  <c r="B69" i="25"/>
  <c r="E70" i="25"/>
  <c r="E107" i="25" s="1"/>
  <c r="G72" i="25"/>
  <c r="G109" i="25" s="1"/>
  <c r="P15" i="25"/>
  <c r="O34" i="25"/>
  <c r="F76" i="25"/>
  <c r="F113" i="25" s="1"/>
  <c r="H69" i="25"/>
  <c r="H106" i="25" s="1"/>
  <c r="G54" i="25"/>
  <c r="G91" i="25" s="1"/>
  <c r="E46" i="25"/>
  <c r="AN11" i="25"/>
  <c r="AP25" i="25"/>
  <c r="AC25" i="25"/>
  <c r="M15" i="25"/>
  <c r="F51" i="25"/>
  <c r="F88" i="25" s="1"/>
  <c r="U40" i="25"/>
  <c r="D63" i="25"/>
  <c r="U28" i="25"/>
  <c r="W28" i="25"/>
  <c r="F61" i="25"/>
  <c r="F98" i="25" s="1"/>
  <c r="V40" i="25"/>
  <c r="AP15" i="25"/>
  <c r="AK25" i="25"/>
  <c r="AN31" i="25"/>
  <c r="AN37" i="25"/>
  <c r="K22" i="25"/>
  <c r="AM15" i="25"/>
  <c r="H25" i="25"/>
  <c r="B34" i="25"/>
  <c r="Q22" i="25"/>
  <c r="B57" i="25"/>
  <c r="AL34" i="25"/>
  <c r="AH11" i="25"/>
  <c r="Q37" i="25"/>
  <c r="L40" i="25"/>
  <c r="H51" i="25"/>
  <c r="H88" i="25" s="1"/>
  <c r="G55" i="25"/>
  <c r="G92" i="25" s="1"/>
  <c r="T28" i="25"/>
  <c r="AB34" i="25"/>
  <c r="AG37" i="25"/>
  <c r="AB40" i="25"/>
  <c r="AP34" i="25"/>
  <c r="AK37" i="25"/>
  <c r="E75" i="25"/>
  <c r="E112" i="25" s="1"/>
  <c r="F54" i="25"/>
  <c r="F91" i="25" s="1"/>
  <c r="K15" i="25"/>
  <c r="AM31" i="25"/>
  <c r="G57" i="25"/>
  <c r="B75" i="25"/>
  <c r="B112" i="25" s="1"/>
  <c r="G50" i="25"/>
  <c r="G87" i="25" s="1"/>
  <c r="G66" i="25"/>
  <c r="G103" i="25" s="1"/>
  <c r="AC22" i="25"/>
  <c r="H53" i="25"/>
  <c r="H90" i="25" s="1"/>
  <c r="D50" i="25"/>
  <c r="E57" i="25"/>
  <c r="D70" i="25"/>
  <c r="D107" i="25" s="1"/>
  <c r="C51" i="25"/>
  <c r="C88" i="25" s="1"/>
  <c r="C53" i="25"/>
  <c r="C90" i="25" s="1"/>
  <c r="E28" i="25"/>
  <c r="G69" i="25"/>
  <c r="G106" i="25" s="1"/>
  <c r="O11" i="25"/>
  <c r="B15" i="25"/>
  <c r="D66" i="25"/>
  <c r="V22" i="25"/>
  <c r="O31" i="25"/>
  <c r="H34" i="25"/>
  <c r="AD25" i="25"/>
  <c r="C54" i="25"/>
  <c r="C91" i="25" s="1"/>
  <c r="C55" i="25"/>
  <c r="C92" i="25" s="1"/>
  <c r="E72" i="25"/>
  <c r="E109" i="25" s="1"/>
  <c r="AM28" i="25"/>
  <c r="N34" i="25"/>
  <c r="AD34" i="25"/>
  <c r="N22" i="25"/>
  <c r="T34" i="25"/>
  <c r="O25" i="25"/>
  <c r="N28" i="25"/>
  <c r="L31" i="25"/>
  <c r="AF34" i="25"/>
  <c r="AF40" i="25"/>
  <c r="AO25" i="25"/>
  <c r="N15" i="25"/>
  <c r="N40" i="25"/>
  <c r="X37" i="25"/>
  <c r="T40" i="25"/>
  <c r="AH15" i="25"/>
  <c r="AB28" i="25"/>
  <c r="AE31" i="25"/>
  <c r="AH31" i="25"/>
  <c r="S37" i="25"/>
  <c r="B37" i="25"/>
  <c r="N25" i="25"/>
  <c r="E54" i="25"/>
  <c r="E91" i="25" s="1"/>
  <c r="B63" i="25"/>
  <c r="B100" i="25" s="1"/>
  <c r="F69" i="25"/>
  <c r="F106" i="25" s="1"/>
  <c r="H70" i="25"/>
  <c r="H107" i="25" s="1"/>
  <c r="AC34" i="25"/>
  <c r="F63" i="25"/>
  <c r="F100" i="25" s="1"/>
  <c r="H64" i="25"/>
  <c r="H101" i="25" s="1"/>
  <c r="AL37" i="25"/>
  <c r="AO40" i="25"/>
  <c r="B73" i="25"/>
  <c r="B110" i="25" s="1"/>
  <c r="AQ34" i="25"/>
  <c r="E31" i="25"/>
  <c r="AQ28" i="25"/>
  <c r="Y34" i="25"/>
  <c r="C76" i="25"/>
  <c r="C113" i="25" s="1"/>
  <c r="AD40" i="25"/>
  <c r="U15" i="25"/>
  <c r="H55" i="25"/>
  <c r="H92" i="25" s="1"/>
  <c r="F34" i="25"/>
  <c r="H60" i="25"/>
  <c r="H97" i="25" s="1"/>
  <c r="C31" i="25"/>
  <c r="G28" i="25"/>
  <c r="AH25" i="25"/>
  <c r="D57" i="25"/>
  <c r="AC31" i="25"/>
  <c r="P37" i="25"/>
  <c r="K40" i="25"/>
  <c r="X15" i="25"/>
  <c r="B64" i="25"/>
  <c r="B101" i="25" s="1"/>
  <c r="W34" i="25"/>
  <c r="E73" i="25"/>
  <c r="E110" i="25" s="1"/>
  <c r="H75" i="25"/>
  <c r="H112" i="25" s="1"/>
  <c r="C50" i="25"/>
  <c r="B53" i="25"/>
  <c r="B90" i="25" s="1"/>
  <c r="AO28" i="25"/>
  <c r="S28" i="25"/>
  <c r="C69" i="25"/>
  <c r="C106" i="25" s="1"/>
  <c r="U25" i="25"/>
  <c r="AG11" i="25"/>
  <c r="AF25" i="25"/>
  <c r="P11" i="25"/>
  <c r="K34" i="25"/>
  <c r="X11" i="25"/>
  <c r="F64" i="25"/>
  <c r="W25" i="25"/>
  <c r="D54" i="25"/>
  <c r="D91" i="25" s="1"/>
  <c r="V37" i="25"/>
  <c r="AB31" i="25"/>
  <c r="B54" i="25"/>
  <c r="B91" i="25" s="1"/>
  <c r="F55" i="25"/>
  <c r="F92" i="25" s="1"/>
  <c r="AC11" i="25"/>
  <c r="G73" i="25"/>
  <c r="G51" i="25"/>
  <c r="Q25" i="25"/>
  <c r="M25" i="25"/>
  <c r="AQ22" i="25"/>
  <c r="Y40" i="25"/>
  <c r="P31" i="25"/>
  <c r="E50" i="25"/>
  <c r="E87" i="25" s="1"/>
  <c r="AL15" i="25"/>
  <c r="V31" i="25"/>
  <c r="P28" i="25"/>
  <c r="N37" i="25"/>
  <c r="V15" i="25"/>
  <c r="S31" i="25"/>
  <c r="AH34" i="25"/>
  <c r="AC37" i="25"/>
  <c r="AH40" i="25"/>
  <c r="AF37" i="25"/>
  <c r="G58" i="25"/>
  <c r="H54" i="25"/>
  <c r="H91" i="25" s="1"/>
  <c r="B50" i="25"/>
  <c r="B87" i="25" s="1"/>
  <c r="G53" i="25"/>
  <c r="G90" i="25" s="1"/>
  <c r="B61" i="25"/>
  <c r="B98" i="25" s="1"/>
  <c r="G63" i="25"/>
  <c r="G100" i="25" s="1"/>
  <c r="Y31" i="25"/>
  <c r="C70" i="25"/>
  <c r="C107" i="25" s="1"/>
  <c r="F75" i="25"/>
  <c r="F112" i="25" s="1"/>
  <c r="C60" i="25"/>
  <c r="C97" i="25" s="1"/>
  <c r="C64" i="25"/>
  <c r="C101" i="25" s="1"/>
  <c r="F66" i="25"/>
  <c r="F103" i="25" s="1"/>
  <c r="AQ31" i="25"/>
  <c r="E76" i="25"/>
  <c r="E113" i="25" s="1"/>
  <c r="H40" i="25"/>
  <c r="C34" i="25"/>
  <c r="AO31" i="25"/>
  <c r="AN40" i="25"/>
  <c r="O28" i="25"/>
  <c r="Y28" i="25"/>
  <c r="AQ11" i="25"/>
  <c r="D53" i="25"/>
  <c r="D90" i="25" s="1"/>
  <c r="C67" i="25"/>
  <c r="C104" i="25" s="1"/>
  <c r="AC15" i="25"/>
  <c r="AG28" i="25"/>
  <c r="AL28" i="25"/>
  <c r="L25" i="25"/>
  <c r="Q28" i="25"/>
  <c r="H67" i="25"/>
  <c r="H104" i="25" s="1"/>
  <c r="F72" i="25"/>
  <c r="F109" i="25" s="1"/>
  <c r="U31" i="25"/>
  <c r="M22" i="25"/>
  <c r="AL25" i="25"/>
  <c r="C57" i="25"/>
  <c r="H61" i="25"/>
  <c r="O15" i="25"/>
  <c r="F60" i="25"/>
  <c r="F97" i="25" s="1"/>
  <c r="AQ25" i="25"/>
  <c r="H46" i="25"/>
  <c r="K11" i="25"/>
  <c r="T22" i="25"/>
  <c r="S25" i="25"/>
  <c r="B72" i="25"/>
  <c r="B109" i="25" s="1"/>
  <c r="AB22" i="25"/>
  <c r="AG22" i="25"/>
  <c r="G61" i="25"/>
  <c r="G98" i="25" s="1"/>
  <c r="AP22" i="25"/>
  <c r="X22" i="25"/>
  <c r="N11" i="25"/>
  <c r="K28" i="25"/>
  <c r="X31" i="25"/>
  <c r="Y15" i="25"/>
  <c r="H28" i="25"/>
  <c r="T37" i="25"/>
  <c r="G21" i="25"/>
  <c r="U36" i="25"/>
  <c r="U37" i="25" s="1"/>
  <c r="T10" i="25"/>
  <c r="T11" i="25" s="1"/>
  <c r="C58" i="25"/>
  <c r="G36" i="25"/>
  <c r="W22" i="25"/>
  <c r="C73" i="25"/>
  <c r="C36" i="25"/>
  <c r="V25" i="25"/>
  <c r="V28" i="25"/>
  <c r="S11" i="25"/>
  <c r="G31" i="25"/>
  <c r="P22" i="25"/>
  <c r="G25" i="25"/>
  <c r="H57" i="25"/>
  <c r="H94" i="25" s="1"/>
  <c r="AL22" i="25"/>
  <c r="F8" i="29"/>
  <c r="D64" i="25"/>
  <c r="P34" i="25"/>
  <c r="K37" i="25"/>
  <c r="D51" i="25"/>
  <c r="D88" i="25" s="1"/>
  <c r="B46" i="25"/>
  <c r="D61" i="25"/>
  <c r="G15" i="25"/>
  <c r="L22" i="25"/>
  <c r="D34" i="25"/>
  <c r="H15" i="25"/>
  <c r="L34" i="25"/>
  <c r="B25" i="25"/>
  <c r="AF15" i="25"/>
  <c r="AH37" i="25"/>
  <c r="AC40" i="25"/>
  <c r="H58" i="25"/>
  <c r="AG25" i="25"/>
  <c r="AF31" i="25"/>
  <c r="W40" i="25"/>
  <c r="C28" i="25"/>
  <c r="AC28" i="25"/>
  <c r="C20" i="25"/>
  <c r="E20" i="25"/>
  <c r="U9" i="25"/>
  <c r="D46" i="25" s="1"/>
  <c r="AM21" i="25"/>
  <c r="B20" i="25"/>
  <c r="H9" i="25"/>
  <c r="D13" i="25"/>
  <c r="F58" i="25"/>
  <c r="L37" i="25"/>
  <c r="AG15" i="25"/>
  <c r="D67" i="25"/>
  <c r="P40" i="25"/>
  <c r="W31" i="25"/>
  <c r="C75" i="25"/>
  <c r="W11" i="25"/>
  <c r="U34" i="25"/>
  <c r="D75" i="25"/>
  <c r="D112" i="25" s="1"/>
  <c r="E55" i="25"/>
  <c r="E92" i="25" s="1"/>
  <c r="E40" i="25"/>
  <c r="C46" i="25"/>
  <c r="D55" i="25"/>
  <c r="D92" i="25" s="1"/>
  <c r="AE34" i="25"/>
  <c r="AD37" i="25"/>
  <c r="B47" i="25"/>
  <c r="C15" i="25"/>
  <c r="H66" i="25"/>
  <c r="H103" i="25" s="1"/>
  <c r="O40" i="25"/>
  <c r="W37" i="25"/>
  <c r="B28" i="25"/>
  <c r="E53" i="25"/>
  <c r="E90" i="25" s="1"/>
  <c r="E64" i="25"/>
  <c r="E101" i="25" s="1"/>
  <c r="AO34" i="25"/>
  <c r="F70" i="25"/>
  <c r="G76" i="25"/>
  <c r="AP40" i="25"/>
  <c r="F40" i="25"/>
  <c r="G75" i="25"/>
  <c r="G112" i="25" s="1"/>
  <c r="L28" i="25"/>
  <c r="C63" i="25"/>
  <c r="X25" i="25"/>
  <c r="G60" i="25"/>
  <c r="G97" i="25" s="1"/>
  <c r="O37" i="25"/>
  <c r="F73" i="25"/>
  <c r="E63" i="25"/>
  <c r="E100" i="25" s="1"/>
  <c r="AN28" i="25"/>
  <c r="AP28" i="25"/>
  <c r="G64" i="25"/>
  <c r="AK31" i="25"/>
  <c r="B67" i="25"/>
  <c r="D60" i="25"/>
  <c r="D97" i="25" s="1"/>
  <c r="AM25" i="25"/>
  <c r="AN22" i="25"/>
  <c r="E58" i="25"/>
  <c r="B60" i="25"/>
  <c r="K25" i="25"/>
  <c r="AO15" i="25"/>
  <c r="F50" i="25"/>
  <c r="AO22" i="25"/>
  <c r="F57" i="25"/>
  <c r="F94" i="25" s="1"/>
  <c r="Y37" i="25"/>
  <c r="H73" i="25"/>
  <c r="M34" i="25"/>
  <c r="D69" i="25"/>
  <c r="D106" i="25" s="1"/>
  <c r="F25" i="25"/>
  <c r="AN15" i="25"/>
  <c r="E51" i="25"/>
  <c r="AN25" i="25"/>
  <c r="E61" i="25"/>
  <c r="AK22" i="25"/>
  <c r="B58" i="25"/>
  <c r="H72" i="25"/>
  <c r="H109" i="25" s="1"/>
  <c r="AQ37" i="25"/>
  <c r="F46" i="25"/>
  <c r="F83" i="25" s="1"/>
  <c r="G34" i="25"/>
  <c r="AL40" i="25"/>
  <c r="AM40" i="25"/>
  <c r="D76" i="25"/>
  <c r="E37" i="25"/>
  <c r="E15" i="25"/>
  <c r="AM37" i="25"/>
  <c r="D72" i="25"/>
  <c r="D109" i="25" s="1"/>
  <c r="M37" i="25"/>
  <c r="Q15" i="25"/>
  <c r="H50" i="25"/>
  <c r="E69" i="25"/>
  <c r="V34" i="25"/>
  <c r="G70" i="25"/>
  <c r="X34" i="25"/>
  <c r="B76" i="25"/>
  <c r="S40" i="25"/>
  <c r="E21" i="25"/>
  <c r="F37" i="25"/>
  <c r="G46" i="25"/>
  <c r="T25" i="25"/>
  <c r="C61" i="25"/>
  <c r="N31" i="25"/>
  <c r="E67" i="25"/>
  <c r="B51" i="25"/>
  <c r="S15" i="25"/>
  <c r="H63" i="25"/>
  <c r="H100" i="25" s="1"/>
  <c r="K31" i="25"/>
  <c r="B66" i="25"/>
  <c r="B103" i="25" s="1"/>
  <c r="H76" i="25"/>
  <c r="Q40" i="25"/>
  <c r="E59" i="25" l="1"/>
  <c r="B59" i="25"/>
  <c r="E52" i="25"/>
  <c r="E89" i="25" s="1"/>
  <c r="B94" i="25"/>
  <c r="C74" i="25"/>
  <c r="G71" i="25"/>
  <c r="G108" i="25" s="1"/>
  <c r="E71" i="25"/>
  <c r="E108" i="25" s="1"/>
  <c r="B71" i="25"/>
  <c r="B108" i="25" s="1"/>
  <c r="B106" i="25"/>
  <c r="G74" i="25"/>
  <c r="G68" i="25"/>
  <c r="G105" i="25" s="1"/>
  <c r="D65" i="25"/>
  <c r="C77" i="25"/>
  <c r="C114" i="25" s="1"/>
  <c r="G59" i="25"/>
  <c r="D68" i="25"/>
  <c r="E94" i="25"/>
  <c r="G52" i="25"/>
  <c r="G89" i="25" s="1"/>
  <c r="F62" i="25"/>
  <c r="F99" i="25" s="1"/>
  <c r="C52" i="25"/>
  <c r="C89" i="25" s="1"/>
  <c r="E74" i="25"/>
  <c r="E111" i="25" s="1"/>
  <c r="G95" i="25"/>
  <c r="H83" i="25"/>
  <c r="H71" i="25"/>
  <c r="H108" i="25" s="1"/>
  <c r="C68" i="25"/>
  <c r="C105" i="25" s="1"/>
  <c r="F77" i="25"/>
  <c r="F114" i="25" s="1"/>
  <c r="G88" i="25"/>
  <c r="F65" i="25"/>
  <c r="F102" i="25" s="1"/>
  <c r="B74" i="25"/>
  <c r="B111" i="25" s="1"/>
  <c r="D52" i="25"/>
  <c r="B65" i="25"/>
  <c r="B102" i="25" s="1"/>
  <c r="C87" i="25"/>
  <c r="F74" i="25"/>
  <c r="F111" i="25" s="1"/>
  <c r="C94" i="25"/>
  <c r="B62" i="25"/>
  <c r="B99" i="25" s="1"/>
  <c r="F101" i="25"/>
  <c r="G110" i="25"/>
  <c r="C112" i="25"/>
  <c r="B48" i="25"/>
  <c r="C71" i="25"/>
  <c r="C108" i="25" s="1"/>
  <c r="E77" i="25"/>
  <c r="E114" i="25" s="1"/>
  <c r="F68" i="25"/>
  <c r="F105" i="25" s="1"/>
  <c r="H59" i="25"/>
  <c r="C59" i="25"/>
  <c r="H62" i="25"/>
  <c r="H99" i="25" s="1"/>
  <c r="H98" i="25"/>
  <c r="D73" i="25"/>
  <c r="D74" i="25" s="1"/>
  <c r="E106" i="25"/>
  <c r="G10" i="25"/>
  <c r="C10" i="29"/>
  <c r="G37" i="25"/>
  <c r="C21" i="25"/>
  <c r="C95" i="25" s="1"/>
  <c r="C37" i="25"/>
  <c r="C110" i="25"/>
  <c r="G8" i="29"/>
  <c r="H8" i="29"/>
  <c r="B97" i="25"/>
  <c r="G62" i="25"/>
  <c r="G99" i="25" s="1"/>
  <c r="F110" i="25"/>
  <c r="D62" i="25"/>
  <c r="D20" i="25"/>
  <c r="D94" i="25" s="1"/>
  <c r="L10" i="25"/>
  <c r="L11" i="25" s="1"/>
  <c r="E88" i="25"/>
  <c r="H21" i="25"/>
  <c r="AE10" i="25"/>
  <c r="AE11" i="25" s="1"/>
  <c r="F21" i="25"/>
  <c r="B9" i="25"/>
  <c r="B83" i="25" s="1"/>
  <c r="D27" i="25"/>
  <c r="AB10" i="25"/>
  <c r="AB11" i="25" s="1"/>
  <c r="AF10" i="25"/>
  <c r="AF11" i="25" s="1"/>
  <c r="AM22" i="25"/>
  <c r="E9" i="25"/>
  <c r="E83" i="25" s="1"/>
  <c r="D24" i="25"/>
  <c r="D36" i="25"/>
  <c r="D37" i="25" s="1"/>
  <c r="AO10" i="25"/>
  <c r="D26" i="25"/>
  <c r="D100" i="25" s="1"/>
  <c r="H68" i="25"/>
  <c r="H105" i="25" s="1"/>
  <c r="Q10" i="25"/>
  <c r="AL10" i="25"/>
  <c r="AL11" i="25" s="1"/>
  <c r="AP10" i="25"/>
  <c r="D29" i="25"/>
  <c r="D103" i="25" s="1"/>
  <c r="U21" i="25"/>
  <c r="U22" i="25" s="1"/>
  <c r="G20" i="25"/>
  <c r="V10" i="25"/>
  <c r="D15" i="25"/>
  <c r="D87" i="25"/>
  <c r="D39" i="25"/>
  <c r="D40" i="25" s="1"/>
  <c r="D30" i="25"/>
  <c r="AD21" i="25"/>
  <c r="AD22" i="25" s="1"/>
  <c r="B21" i="25"/>
  <c r="H10" i="25"/>
  <c r="C9" i="25"/>
  <c r="B77" i="25"/>
  <c r="B114" i="25" s="1"/>
  <c r="B113" i="25"/>
  <c r="H65" i="25"/>
  <c r="H102" i="25" s="1"/>
  <c r="B52" i="25"/>
  <c r="B89" i="25" s="1"/>
  <c r="B88" i="25"/>
  <c r="E98" i="25"/>
  <c r="E62" i="25"/>
  <c r="E99" i="25" s="1"/>
  <c r="B104" i="25"/>
  <c r="B68" i="25"/>
  <c r="B105" i="25" s="1"/>
  <c r="D71" i="25"/>
  <c r="D108" i="25" s="1"/>
  <c r="E104" i="25"/>
  <c r="E68" i="25"/>
  <c r="E105" i="25" s="1"/>
  <c r="D21" i="25"/>
  <c r="H113" i="25"/>
  <c r="H77" i="25"/>
  <c r="H114" i="25" s="1"/>
  <c r="H110" i="25"/>
  <c r="H74" i="25"/>
  <c r="H111" i="25" s="1"/>
  <c r="G101" i="25"/>
  <c r="G65" i="25"/>
  <c r="G102" i="25" s="1"/>
  <c r="G77" i="25"/>
  <c r="G114" i="25" s="1"/>
  <c r="G113" i="25"/>
  <c r="C98" i="25"/>
  <c r="C62" i="25"/>
  <c r="C99" i="25" s="1"/>
  <c r="E22" i="25"/>
  <c r="E95" i="25"/>
  <c r="F71" i="25"/>
  <c r="F108" i="25" s="1"/>
  <c r="F107" i="25"/>
  <c r="E10" i="25"/>
  <c r="H52" i="25"/>
  <c r="H89" i="25" s="1"/>
  <c r="H87" i="25"/>
  <c r="D77" i="25"/>
  <c r="F87" i="25"/>
  <c r="F52" i="25"/>
  <c r="F89" i="25" s="1"/>
  <c r="C65" i="25"/>
  <c r="C102" i="25" s="1"/>
  <c r="C100" i="25"/>
  <c r="G107" i="25"/>
  <c r="E65" i="25"/>
  <c r="E102" i="25" s="1"/>
  <c r="F59" i="25"/>
  <c r="E96" i="25" l="1"/>
  <c r="C111" i="25"/>
  <c r="G111" i="25"/>
  <c r="D89" i="25"/>
  <c r="D114" i="25"/>
  <c r="C47" i="25"/>
  <c r="C48" i="25" s="1"/>
  <c r="D110" i="25"/>
  <c r="C10" i="25"/>
  <c r="C11" i="25" s="1"/>
  <c r="D10" i="29"/>
  <c r="D111" i="25"/>
  <c r="C22" i="25"/>
  <c r="C96" i="25" s="1"/>
  <c r="D113" i="25"/>
  <c r="C83" i="25"/>
  <c r="D31" i="25"/>
  <c r="D105" i="25" s="1"/>
  <c r="D104" i="25"/>
  <c r="D25" i="25"/>
  <c r="D99" i="25" s="1"/>
  <c r="D98" i="25"/>
  <c r="AD10" i="25"/>
  <c r="AD11" i="25" s="1"/>
  <c r="G9" i="25"/>
  <c r="B10" i="25"/>
  <c r="G22" i="25"/>
  <c r="G96" i="25" s="1"/>
  <c r="G94" i="25"/>
  <c r="H47" i="25"/>
  <c r="H48" i="25" s="1"/>
  <c r="Q11" i="25"/>
  <c r="H22" i="25"/>
  <c r="H96" i="25" s="1"/>
  <c r="H95" i="25"/>
  <c r="F95" i="25"/>
  <c r="F22" i="25"/>
  <c r="F96" i="25" s="1"/>
  <c r="H11" i="25"/>
  <c r="V11" i="25"/>
  <c r="E47" i="25"/>
  <c r="E48" i="25" s="1"/>
  <c r="AP11" i="25"/>
  <c r="G47" i="25"/>
  <c r="D58" i="25"/>
  <c r="D59" i="25" s="1"/>
  <c r="F10" i="25"/>
  <c r="M10" i="25"/>
  <c r="AO11" i="25"/>
  <c r="F47" i="25"/>
  <c r="F48" i="25" s="1"/>
  <c r="D101" i="25"/>
  <c r="D28" i="25"/>
  <c r="D102" i="25" s="1"/>
  <c r="B22" i="25"/>
  <c r="B96" i="25" s="1"/>
  <c r="B95" i="25"/>
  <c r="U10" i="25"/>
  <c r="U11" i="25" s="1"/>
  <c r="AM10" i="25"/>
  <c r="AM11" i="25" s="1"/>
  <c r="E11" i="25"/>
  <c r="D22" i="25"/>
  <c r="D10" i="25"/>
  <c r="H84" i="25" l="1"/>
  <c r="C84" i="25"/>
  <c r="F10" i="29"/>
  <c r="E85" i="25"/>
  <c r="D95" i="25"/>
  <c r="D96" i="25"/>
  <c r="E84" i="25"/>
  <c r="G84" i="25"/>
  <c r="G48" i="25"/>
  <c r="B11" i="25"/>
  <c r="B85" i="25" s="1"/>
  <c r="B84" i="25"/>
  <c r="F11" i="25"/>
  <c r="F85" i="25" s="1"/>
  <c r="F84" i="25"/>
  <c r="C85" i="25"/>
  <c r="H85" i="25"/>
  <c r="D9" i="25"/>
  <c r="D83" i="25" s="1"/>
  <c r="M11" i="25"/>
  <c r="D47" i="25"/>
  <c r="D48" i="25" s="1"/>
  <c r="G11" i="25"/>
  <c r="G83" i="25"/>
  <c r="G10" i="29" l="1"/>
  <c r="H10" i="29"/>
  <c r="G85" i="25"/>
  <c r="D84" i="25"/>
  <c r="D11" i="25"/>
  <c r="D85" i="25" s="1"/>
  <c r="E21" i="29" l="1"/>
  <c r="C21" i="29"/>
  <c r="F21" i="29"/>
  <c r="B21" i="29"/>
  <c r="D21" i="29" l="1"/>
  <c r="G21" i="29"/>
  <c r="H21" i="29"/>
</calcChain>
</file>

<file path=xl/sharedStrings.xml><?xml version="1.0" encoding="utf-8"?>
<sst xmlns="http://schemas.openxmlformats.org/spreadsheetml/2006/main" count="6266" uniqueCount="130">
  <si>
    <t>Показатели</t>
  </si>
  <si>
    <t>Площ</t>
  </si>
  <si>
    <t>Ст.маса</t>
  </si>
  <si>
    <t>Лежаща</t>
  </si>
  <si>
    <t>Едра</t>
  </si>
  <si>
    <t>Средна</t>
  </si>
  <si>
    <t>Дребна</t>
  </si>
  <si>
    <t>Дърва</t>
  </si>
  <si>
    <t>ха</t>
  </si>
  <si>
    <t>м3</t>
  </si>
  <si>
    <t>маса м3</t>
  </si>
  <si>
    <t>А.Иглолистни</t>
  </si>
  <si>
    <t>%</t>
  </si>
  <si>
    <t>в т.ч. бял бор</t>
  </si>
  <si>
    <t xml:space="preserve">           смърч</t>
  </si>
  <si>
    <t xml:space="preserve">            ела</t>
  </si>
  <si>
    <t>Б.Широколистни</t>
  </si>
  <si>
    <t>Общо А+Б</t>
  </si>
  <si>
    <t>1. По ГСП</t>
  </si>
  <si>
    <t>2. Год. план</t>
  </si>
  <si>
    <t>% (2/1)</t>
  </si>
  <si>
    <t>Бук по ГСП</t>
  </si>
  <si>
    <t>Бук год. план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</si>
  <si>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</si>
  <si>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</si>
  <si>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</si>
  <si>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</si>
  <si>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</si>
  <si>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</si>
  <si>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</si>
  <si>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</si>
  <si>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</si>
  <si>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</si>
  <si>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>Образец по чл. 6, ал.1 от Наредбата по чл. 95, ал. 1 от ЗГ</t>
  </si>
  <si>
    <t>ОДОБРИЛ: ..............................</t>
  </si>
  <si>
    <t>ВСИЧКО / І + ІІ + ІV /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</si>
  <si>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</si>
  <si>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</si>
  <si>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</si>
  <si>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/ ДИРЕКТОР НА СЦДП - ДП "ГАБРОВО" ГР. ГАБРОВО /</t>
  </si>
  <si>
    <t>1.По ГСП</t>
  </si>
  <si>
    <t>2.Год. план</t>
  </si>
  <si>
    <t>/ ДИРЕКТОР НА ДП "СЦДП" ГР. Габрово /</t>
  </si>
  <si>
    <t>Б. Широколистни</t>
  </si>
  <si>
    <t>%(2/1)</t>
  </si>
  <si>
    <t>Дъб год.план</t>
  </si>
  <si>
    <t>Цер год.план.</t>
  </si>
  <si>
    <t>Топола год.план.</t>
  </si>
  <si>
    <t>Акация год.план.</t>
  </si>
  <si>
    <t>ВСИЧКО/І+ІІ+ІV/</t>
  </si>
  <si>
    <t>2.Год.план</t>
  </si>
  <si>
    <t>Бук год.план.</t>
  </si>
  <si>
    <t>Др.шир. год.план</t>
  </si>
  <si>
    <t>Одобрил:......................................</t>
  </si>
  <si>
    <t>Директор СЦДП ДП Габрово</t>
  </si>
  <si>
    <t xml:space="preserve">                                                                            Одобрил:....................................</t>
  </si>
  <si>
    <t xml:space="preserve">ГОДИШЕН ПЛАН ЗА ПОЛЗВАНЕ НА ДЪРВЕСИНА                                                                              </t>
  </si>
  <si>
    <t>Обобщил:………………………………</t>
  </si>
  <si>
    <t>ІV. ДРУГИ СЕЧИ</t>
  </si>
  <si>
    <t>Одобрил:....................................</t>
  </si>
  <si>
    <t>/ ДИРЕКТОР НА ДП "СЦДП" гр. Габрово /</t>
  </si>
  <si>
    <t xml:space="preserve">Приложение 1 към Заповед РД 09-770/30.10.2015 г. </t>
  </si>
  <si>
    <t xml:space="preserve">ТП   </t>
  </si>
  <si>
    <t>Площ  - ха</t>
  </si>
  <si>
    <t>Лежаща дървесина - пл. куб. м.</t>
  </si>
  <si>
    <t xml:space="preserve">Одобрен годишен план </t>
  </si>
  <si>
    <t xml:space="preserve">Предложение за промяна на годишния план </t>
  </si>
  <si>
    <t xml:space="preserve">% промяна ГП </t>
  </si>
  <si>
    <t>разлика,  к.6-к5</t>
  </si>
  <si>
    <t>СЦДП ДП ГАБРОВО</t>
  </si>
  <si>
    <t xml:space="preserve">  </t>
  </si>
  <si>
    <t xml:space="preserve"> </t>
  </si>
  <si>
    <t xml:space="preserve">                Директор:………………………..</t>
  </si>
  <si>
    <t xml:space="preserve">                             /инж.Р. Хараламов/</t>
  </si>
  <si>
    <t>Директор СЦДП ДП Габрово            инж. Тодор Бонев</t>
  </si>
  <si>
    <t>ДГС"БОЛЯРКА"</t>
  </si>
  <si>
    <t>ДГС БУЙНОВЦИ</t>
  </si>
  <si>
    <t>ДГС ГАБРОВО</t>
  </si>
  <si>
    <t>ДГС ГОРНА ОРЯХОВИЦА</t>
  </si>
  <si>
    <t>ДГС ЕЛЕНА</t>
  </si>
  <si>
    <t>ДГС ПЛАЧКОВЦИ</t>
  </si>
  <si>
    <t>ДЛС РОСИЦА</t>
  </si>
  <si>
    <t>ДГС-СВИЩОВ</t>
  </si>
  <si>
    <t>ДГС СЕВЛИЕВО</t>
  </si>
  <si>
    <t>ДГС БЯЛА</t>
  </si>
  <si>
    <t>ДЛС ДУНАВ - РУСЕ</t>
  </si>
  <si>
    <t>ДЛС "КАРАКУЗ"</t>
  </si>
  <si>
    <t>ДГС РАЗГРАД</t>
  </si>
  <si>
    <t>ДГС "Сеслав" гр.Кубрат</t>
  </si>
  <si>
    <t>ДГС "СИЛИСТРА"</t>
  </si>
  <si>
    <t>ДГС ТУТРАКАН</t>
  </si>
  <si>
    <t>ДЛС ВОДЕН-ИРИ ХИСАР</t>
  </si>
  <si>
    <t xml:space="preserve">Одобрил: . . . . . . . . . . . . . . . . . . . . . . . . . . . </t>
  </si>
  <si>
    <t xml:space="preserve">ГОДИШЕН ПЛАН ЗА ПОЛЗВАНЕ НА ДЪРВЕСИНА                                НА  ТП ДГС СЕВЛИЕВО  ЗА 2020г.                                              </t>
  </si>
  <si>
    <t xml:space="preserve">                            /инж. Иван Недков - Директор СЦДП ДП Габрово/</t>
  </si>
  <si>
    <t>/инж. Иван Недков-директор СЦДП ДП Габрово/</t>
  </si>
  <si>
    <t xml:space="preserve">                  /Директор "СЦДП" ДП Габрово - инж. Иван Недков/</t>
  </si>
  <si>
    <t>Директор:</t>
  </si>
  <si>
    <t>/инж. Мила Стоянова/</t>
  </si>
  <si>
    <t xml:space="preserve"> ВСИЧКО/І+ІІ+ІV/</t>
  </si>
  <si>
    <t>Директор СЦДП ДП Габрово            инж. Иван Недков</t>
  </si>
  <si>
    <t>/Директор "СЦДП" ДП Габрово - инж. И. Недков/</t>
  </si>
  <si>
    <t>Директор СЦДП ДП Габрово            /инж. И. Недков/</t>
  </si>
  <si>
    <t>ІV. ДРУГИ  СЕЧИ</t>
  </si>
  <si>
    <t>инж. Иван Недков</t>
  </si>
  <si>
    <t>към 15.10.2023 г.</t>
  </si>
  <si>
    <t xml:space="preserve">                   /Невелин Неделчев/</t>
  </si>
  <si>
    <t>/инж. Иван Недков -директор СЦДП ДП Габрово/</t>
  </si>
  <si>
    <t>/инж. Иван Недков - директор СЦДП ДП Габрово/</t>
  </si>
  <si>
    <t>/ ДИРЕКТОР НА СЦДП ДП ГР. ГАБРОВО/</t>
  </si>
  <si>
    <t xml:space="preserve">ГОДИШЕН ПЛАН ЗА ПОЛЗВАНЕ НА ДЪРВЕСИНА НА ТП "ДГС СВИЩОВ" </t>
  </si>
  <si>
    <t>"ДГС СВИЩОВ" за 2025 г.</t>
  </si>
  <si>
    <t>ГОДИШЕН ПЛАН ЗА ПОЛЗВАНЕ НА ДЪРВЕСИНА НА                                                   ТП ДГС "ГОРНА ОРЯХОВИЦА"  ЗА 2025 г.,  към 18.10.2024 г.</t>
  </si>
  <si>
    <t xml:space="preserve">ГОДИШЕН ПЛАН ЗА ПОЛЗВАНЕ НА ДЪРВЕСИНА    НА  ТП ДЛС РОСИЦА-СЕВЛИЕВО ЗА 2025г.                                                                           </t>
  </si>
  <si>
    <t xml:space="preserve">    </t>
  </si>
  <si>
    <t xml:space="preserve">ГОДИШЕН ПЛАН ЗА ПОЛЗВАНЕ НА ДЪРВЕСИНА                                
НА  ТП ДГС "Болярка" - В. Търново  за 2025 г.                                              </t>
  </si>
  <si>
    <t xml:space="preserve"> НА  ТП ДГС ГАБРОВО ЗА 2025 г. </t>
  </si>
  <si>
    <t>ГОДИШЕН ПЛАН ЗА ПОЛЗВАНЕ НА ДЪРВЕСИНА НА СЦДП ДП ТП ДГС "Сеслав"  ЗА 2025 г.</t>
  </si>
  <si>
    <t xml:space="preserve">ГОДИШЕН ПЛАН ЗА ПОЛЗВАНЕ НА ДЪРВЕСИНА НА  ТП ДГС БЯЛА ЗА 2025 г.                                              </t>
  </si>
  <si>
    <t>Директор СЦДП ДП Габрово   инж. Иван Недков</t>
  </si>
  <si>
    <t xml:space="preserve">ГОДИШЕН ПЛАН ЗА ПОЛЗВАНЕ НА ДЪРВЕСИНА НА                                                           ТП ДЛС "ДУНАВ" РУСЕ  ЗА 2025 г.                                                        </t>
  </si>
  <si>
    <t xml:space="preserve">ГОДИШЕН ПЛАН ЗА ПОЛЗВАНЕ НА ДЪРВЕСИНА НА  ТП ДЛС "КАРАКУЗ" ГРАД ДУЛОВО  ЗА 2025 г.                                              </t>
  </si>
  <si>
    <t>ГОДИШЕН ПЛАН ЗА ПОЛЗВАНЕ НА ДЪРВЕСИНА НА                                                   ТП ДГС "РАЗГРАД"  ЗА 2025 г.</t>
  </si>
  <si>
    <t>ГОДИШЕН ПЛАН ЗА ПОЛЗВАНЕ НА ДЪРВЕСИНА НА ТП ДГС "ТУТРАКАН"  ЗА 2025 г.</t>
  </si>
  <si>
    <t>ГОДИШЕН ПЛАН ЗА ПОЛЗВАНЕ НА ДЪРВЕСИНА НА ТП ДЛС  "ВОДЕН-ИРИ ХИСАР"  ЗА 2025 г.</t>
  </si>
  <si>
    <t xml:space="preserve"> НА  ТП ДГС БУЙНОВЦИ ЗА 2025 г. </t>
  </si>
  <si>
    <t xml:space="preserve">ГОДИШЕН ПЛАН ЗА ПОЛЗВАНЕ НА ДЪРВЕСИНА  НА                                                ТП ДГС -СИЛИСТРА  ЗА 2025 г., към   15.10.2024 год.                                          </t>
  </si>
  <si>
    <t>ГОДИШЕН ПЛАН ЗА ПОЛЗВАНЕ НА ДЪРВЕСИНА НА СЦДП ДП ГАБРОВО  ЗА 2025 година</t>
  </si>
  <si>
    <t xml:space="preserve"> НА  ТП ДГС ЕЛЕНА ЗА 2025 г. </t>
  </si>
  <si>
    <t>ГОДИШЕН ПЛАН ЗА ПОЛЗВАНЕ НА ДЪРВЕСИНА  НА                ТП ДГС ПЛАЧКОВЦИ ЗА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</si>
</sst>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7" formatCode="0.000"/>
  </numFmts>
  <fonts count="69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All Times New Roman"/>
      <family val="1"/>
      <charset val="204"/>
    </font>
    <font>
      <b/>
      <sz val="10"/>
      <name val="Times New Roman"/>
      <family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Times New Roman"/>
      <family val="1"/>
    </font>
    <font>
      <b/>
      <sz val="10"/>
      <color indexed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name val="Times New Roman"/>
      <family val="1"/>
    </font>
    <font>
      <b/>
      <i/>
      <sz val="10"/>
      <color indexed="10"/>
      <name val="Times New Roman"/>
      <family val="1"/>
    </font>
    <font>
      <i/>
      <sz val="10"/>
      <color indexed="10"/>
      <name val="Times New Roman"/>
      <family val="1"/>
    </font>
    <font>
      <i/>
      <sz val="10"/>
      <color indexed="10"/>
      <name val="Arial"/>
      <family val="2"/>
      <charset val="204"/>
    </font>
    <font>
      <b/>
      <sz val="10"/>
      <color indexed="12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</font>
    <font>
      <sz val="9"/>
      <name val="Arial"/>
      <family val="2"/>
      <charset val="204"/>
    </font>
    <font>
      <b/>
      <sz val="9"/>
      <name val="Times New Roman"/>
      <family val="1"/>
    </font>
    <font>
      <b/>
      <sz val="9"/>
      <name val="All Times New Roman"/>
      <family val="1"/>
      <charset val="204"/>
    </font>
    <font>
      <b/>
      <sz val="9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Garamond"/>
      <family val="1"/>
      <charset val="204"/>
    </font>
    <font>
      <sz val="9"/>
      <name val="All 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Garamond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</font>
    <font>
      <sz val="8"/>
      <name val="Times New Roman"/>
      <family val="1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sz val="10"/>
      <color indexed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b/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Arial"/>
      <family val="2"/>
      <charset val="204"/>
    </font>
    <font>
      <sz val="10"/>
      <name val="Arial"/>
    </font>
    <font>
      <b/>
      <sz val="10"/>
      <name val="Garamond"/>
      <family val="1"/>
      <charset val="204"/>
    </font>
    <font>
      <sz val="11"/>
      <color rgb="FF9C5700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indexed="1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8" fillId="0" borderId="0"/>
    <xf numFmtId="0" fontId="47" fillId="0" borderId="0"/>
    <xf numFmtId="0" fontId="51" fillId="0" borderId="0"/>
    <xf numFmtId="0" fontId="2" fillId="0" borderId="0"/>
    <xf numFmtId="0" fontId="62" fillId="9" borderId="0" applyNumberFormat="0" applyBorder="0" applyAlignment="0" applyProtection="0"/>
    <xf numFmtId="0" fontId="1" fillId="0" borderId="0"/>
    <xf numFmtId="0" fontId="60" fillId="0" borderId="0"/>
  </cellStyleXfs>
  <cellXfs count="534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Continuous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6" fillId="2" borderId="3" xfId="0" applyFont="1" applyFill="1" applyBorder="1"/>
    <xf numFmtId="164" fontId="8" fillId="0" borderId="3" xfId="0" applyNumberFormat="1" applyFont="1" applyBorder="1"/>
    <xf numFmtId="1" fontId="8" fillId="0" borderId="3" xfId="0" applyNumberFormat="1" applyFont="1" applyBorder="1"/>
    <xf numFmtId="0" fontId="10" fillId="0" borderId="0" xfId="0" applyFont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8" fillId="0" borderId="0" xfId="0" applyFont="1"/>
    <xf numFmtId="164" fontId="14" fillId="0" borderId="3" xfId="0" applyNumberFormat="1" applyFont="1" applyBorder="1"/>
    <xf numFmtId="1" fontId="14" fillId="0" borderId="3" xfId="0" applyNumberFormat="1" applyFont="1" applyBorder="1"/>
    <xf numFmtId="0" fontId="0" fillId="2" borderId="0" xfId="0" applyFill="1"/>
    <xf numFmtId="0" fontId="8" fillId="2" borderId="3" xfId="0" applyFont="1" applyFill="1" applyBorder="1"/>
    <xf numFmtId="0" fontId="3" fillId="2" borderId="3" xfId="0" applyFont="1" applyFill="1" applyBorder="1"/>
    <xf numFmtId="0" fontId="8" fillId="2" borderId="0" xfId="0" applyFont="1" applyFill="1"/>
    <xf numFmtId="1" fontId="0" fillId="0" borderId="0" xfId="0" applyNumberFormat="1"/>
    <xf numFmtId="164" fontId="12" fillId="0" borderId="3" xfId="0" applyNumberFormat="1" applyFont="1" applyBorder="1"/>
    <xf numFmtId="1" fontId="12" fillId="0" borderId="3" xfId="0" applyNumberFormat="1" applyFont="1" applyBorder="1"/>
    <xf numFmtId="164" fontId="8" fillId="0" borderId="3" xfId="0" applyNumberFormat="1" applyFont="1" applyBorder="1" applyAlignment="1">
      <alignment horizontal="right"/>
    </xf>
    <xf numFmtId="164" fontId="0" fillId="0" borderId="0" xfId="0" applyNumberFormat="1"/>
    <xf numFmtId="1" fontId="3" fillId="0" borderId="3" xfId="0" applyNumberFormat="1" applyFont="1" applyBorder="1"/>
    <xf numFmtId="164" fontId="3" fillId="0" borderId="3" xfId="0" applyNumberFormat="1" applyFont="1" applyBorder="1"/>
    <xf numFmtId="0" fontId="3" fillId="0" borderId="4" xfId="0" applyFont="1" applyBorder="1"/>
    <xf numFmtId="1" fontId="13" fillId="0" borderId="3" xfId="0" applyNumberFormat="1" applyFont="1" applyBorder="1"/>
    <xf numFmtId="0" fontId="8" fillId="0" borderId="3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3" xfId="0" applyFont="1" applyBorder="1"/>
    <xf numFmtId="0" fontId="5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1" fontId="6" fillId="0" borderId="3" xfId="0" applyNumberFormat="1" applyFont="1" applyBorder="1"/>
    <xf numFmtId="0" fontId="15" fillId="0" borderId="0" xfId="0" applyFont="1"/>
    <xf numFmtId="0" fontId="1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wrapText="1"/>
    </xf>
    <xf numFmtId="0" fontId="3" fillId="0" borderId="4" xfId="0" applyFont="1" applyBorder="1" applyAlignment="1">
      <alignment horizontal="center"/>
    </xf>
    <xf numFmtId="164" fontId="6" fillId="0" borderId="3" xfId="0" applyNumberFormat="1" applyFont="1" applyBorder="1"/>
    <xf numFmtId="0" fontId="12" fillId="0" borderId="3" xfId="0" applyFont="1" applyBorder="1"/>
    <xf numFmtId="164" fontId="19" fillId="0" borderId="3" xfId="0" applyNumberFormat="1" applyFont="1" applyBorder="1"/>
    <xf numFmtId="1" fontId="19" fillId="0" borderId="3" xfId="0" applyNumberFormat="1" applyFont="1" applyBorder="1"/>
    <xf numFmtId="1" fontId="20" fillId="0" borderId="3" xfId="0" applyNumberFormat="1" applyFont="1" applyBorder="1"/>
    <xf numFmtId="164" fontId="13" fillId="0" borderId="3" xfId="0" applyNumberFormat="1" applyFont="1" applyBorder="1"/>
    <xf numFmtId="164" fontId="14" fillId="0" borderId="3" xfId="0" applyNumberFormat="1" applyFont="1" applyBorder="1" applyAlignment="1">
      <alignment horizontal="right"/>
    </xf>
    <xf numFmtId="1" fontId="14" fillId="0" borderId="3" xfId="0" applyNumberFormat="1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1" fontId="0" fillId="0" borderId="3" xfId="0" applyNumberFormat="1" applyBorder="1"/>
    <xf numFmtId="2" fontId="3" fillId="0" borderId="0" xfId="0" applyNumberFormat="1" applyFont="1"/>
    <xf numFmtId="2" fontId="0" fillId="0" borderId="0" xfId="0" applyNumberFormat="1"/>
    <xf numFmtId="0" fontId="5" fillId="0" borderId="0" xfId="0" applyFont="1" applyAlignment="1">
      <alignment horizontal="left"/>
    </xf>
    <xf numFmtId="0" fontId="3" fillId="0" borderId="7" xfId="0" applyFont="1" applyBorder="1"/>
    <xf numFmtId="0" fontId="3" fillId="0" borderId="3" xfId="0" applyFont="1" applyBorder="1" applyAlignment="1">
      <alignment horizontal="centerContinuous"/>
    </xf>
    <xf numFmtId="0" fontId="3" fillId="0" borderId="8" xfId="0" applyFont="1" applyBorder="1"/>
    <xf numFmtId="0" fontId="3" fillId="0" borderId="9" xfId="0" applyFont="1" applyBorder="1"/>
    <xf numFmtId="0" fontId="3" fillId="0" borderId="6" xfId="0" applyFont="1" applyBorder="1" applyAlignment="1">
      <alignment horizontal="centerContinuous"/>
    </xf>
    <xf numFmtId="0" fontId="3" fillId="0" borderId="5" xfId="0" applyFont="1" applyBorder="1"/>
    <xf numFmtId="0" fontId="3" fillId="0" borderId="10" xfId="0" applyFont="1" applyBorder="1"/>
    <xf numFmtId="0" fontId="6" fillId="0" borderId="2" xfId="0" applyFont="1" applyBorder="1"/>
    <xf numFmtId="0" fontId="6" fillId="0" borderId="11" xfId="0" applyFont="1" applyBorder="1"/>
    <xf numFmtId="0" fontId="4" fillId="0" borderId="3" xfId="0" applyFont="1" applyBorder="1"/>
    <xf numFmtId="0" fontId="6" fillId="2" borderId="11" xfId="0" applyFont="1" applyFill="1" applyBorder="1"/>
    <xf numFmtId="0" fontId="0" fillId="0" borderId="12" xfId="0" applyBorder="1"/>
    <xf numFmtId="0" fontId="0" fillId="0" borderId="9" xfId="0" applyBorder="1"/>
    <xf numFmtId="0" fontId="3" fillId="0" borderId="11" xfId="0" applyFont="1" applyBorder="1"/>
    <xf numFmtId="0" fontId="16" fillId="2" borderId="3" xfId="0" applyFont="1" applyFill="1" applyBorder="1"/>
    <xf numFmtId="0" fontId="16" fillId="2" borderId="11" xfId="0" applyFont="1" applyFill="1" applyBorder="1"/>
    <xf numFmtId="0" fontId="8" fillId="2" borderId="11" xfId="0" applyFont="1" applyFill="1" applyBorder="1"/>
    <xf numFmtId="1" fontId="0" fillId="0" borderId="9" xfId="0" applyNumberFormat="1" applyBorder="1"/>
    <xf numFmtId="0" fontId="15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3" fillId="0" borderId="3" xfId="3" applyFont="1" applyBorder="1"/>
    <xf numFmtId="0" fontId="3" fillId="0" borderId="14" xfId="0" applyFont="1" applyBorder="1"/>
    <xf numFmtId="1" fontId="3" fillId="0" borderId="14" xfId="0" applyNumberFormat="1" applyFont="1" applyBorder="1"/>
    <xf numFmtId="1" fontId="3" fillId="0" borderId="15" xfId="0" applyNumberFormat="1" applyFont="1" applyBorder="1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6" fillId="0" borderId="12" xfId="3" applyFont="1" applyBorder="1"/>
    <xf numFmtId="0" fontId="6" fillId="0" borderId="3" xfId="3" applyFont="1" applyBorder="1"/>
    <xf numFmtId="3" fontId="6" fillId="0" borderId="3" xfId="3" applyNumberFormat="1" applyFont="1" applyBorder="1"/>
    <xf numFmtId="0" fontId="22" fillId="2" borderId="3" xfId="3" applyFont="1" applyFill="1" applyBorder="1"/>
    <xf numFmtId="0" fontId="6" fillId="0" borderId="2" xfId="3" applyFont="1" applyBorder="1"/>
    <xf numFmtId="3" fontId="6" fillId="0" borderId="2" xfId="3" applyNumberFormat="1" applyFont="1" applyBorder="1"/>
    <xf numFmtId="0" fontId="3" fillId="0" borderId="12" xfId="3" applyFont="1" applyBorder="1"/>
    <xf numFmtId="3" fontId="2" fillId="0" borderId="13" xfId="0" applyNumberFormat="1" applyFont="1" applyBorder="1"/>
    <xf numFmtId="3" fontId="2" fillId="0" borderId="11" xfId="0" applyNumberFormat="1" applyFont="1" applyBorder="1"/>
    <xf numFmtId="3" fontId="8" fillId="0" borderId="3" xfId="3" applyNumberFormat="1" applyFont="1" applyBorder="1"/>
    <xf numFmtId="3" fontId="23" fillId="0" borderId="2" xfId="3" applyNumberFormat="1" applyFont="1" applyBorder="1"/>
    <xf numFmtId="0" fontId="3" fillId="2" borderId="3" xfId="3" applyFont="1" applyFill="1" applyBorder="1"/>
    <xf numFmtId="0" fontId="3" fillId="0" borderId="3" xfId="0" applyFont="1" applyBorder="1" applyAlignment="1">
      <alignment horizontal="right"/>
    </xf>
    <xf numFmtId="3" fontId="0" fillId="0" borderId="0" xfId="0" applyNumberFormat="1"/>
    <xf numFmtId="0" fontId="3" fillId="0" borderId="14" xfId="0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6" fillId="2" borderId="23" xfId="0" applyFont="1" applyFill="1" applyBorder="1"/>
    <xf numFmtId="0" fontId="8" fillId="2" borderId="23" xfId="0" applyFont="1" applyFill="1" applyBorder="1"/>
    <xf numFmtId="0" fontId="3" fillId="0" borderId="23" xfId="0" applyFont="1" applyBorder="1"/>
    <xf numFmtId="0" fontId="3" fillId="0" borderId="24" xfId="0" applyFont="1" applyBorder="1"/>
    <xf numFmtId="0" fontId="3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/>
    <xf numFmtId="0" fontId="6" fillId="2" borderId="0" xfId="0" applyFont="1" applyFill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24" fillId="0" borderId="3" xfId="0" applyFont="1" applyBorder="1"/>
    <xf numFmtId="0" fontId="24" fillId="0" borderId="11" xfId="0" applyFont="1" applyBorder="1"/>
    <xf numFmtId="0" fontId="25" fillId="0" borderId="3" xfId="0" applyFont="1" applyBorder="1"/>
    <xf numFmtId="0" fontId="26" fillId="0" borderId="3" xfId="0" applyFont="1" applyBorder="1"/>
    <xf numFmtId="0" fontId="25" fillId="0" borderId="11" xfId="0" applyFont="1" applyBorder="1"/>
    <xf numFmtId="1" fontId="0" fillId="0" borderId="12" xfId="0" applyNumberFormat="1" applyBorder="1"/>
    <xf numFmtId="164" fontId="0" fillId="0" borderId="3" xfId="0" applyNumberFormat="1" applyBorder="1"/>
    <xf numFmtId="2" fontId="0" fillId="0" borderId="3" xfId="0" applyNumberFormat="1" applyBorder="1"/>
    <xf numFmtId="164" fontId="0" fillId="0" borderId="12" xfId="0" applyNumberFormat="1" applyBorder="1"/>
    <xf numFmtId="0" fontId="7" fillId="0" borderId="0" xfId="0" applyFont="1"/>
    <xf numFmtId="164" fontId="3" fillId="2" borderId="3" xfId="0" applyNumberFormat="1" applyFont="1" applyFill="1" applyBorder="1"/>
    <xf numFmtId="0" fontId="21" fillId="0" borderId="3" xfId="0" applyFont="1" applyBorder="1"/>
    <xf numFmtId="164" fontId="27" fillId="4" borderId="3" xfId="0" applyNumberFormat="1" applyFont="1" applyFill="1" applyBorder="1"/>
    <xf numFmtId="0" fontId="27" fillId="4" borderId="3" xfId="0" applyFont="1" applyFill="1" applyBorder="1"/>
    <xf numFmtId="164" fontId="12" fillId="4" borderId="3" xfId="0" applyNumberFormat="1" applyFont="1" applyFill="1" applyBorder="1"/>
    <xf numFmtId="0" fontId="12" fillId="4" borderId="3" xfId="0" applyFont="1" applyFill="1" applyBorder="1"/>
    <xf numFmtId="1" fontId="12" fillId="4" borderId="3" xfId="0" applyNumberFormat="1" applyFont="1" applyFill="1" applyBorder="1"/>
    <xf numFmtId="1" fontId="27" fillId="4" borderId="3" xfId="0" applyNumberFormat="1" applyFont="1" applyFill="1" applyBorder="1"/>
    <xf numFmtId="164" fontId="27" fillId="0" borderId="3" xfId="0" applyNumberFormat="1" applyFont="1" applyBorder="1"/>
    <xf numFmtId="0" fontId="27" fillId="0" borderId="3" xfId="0" applyFont="1" applyBorder="1"/>
    <xf numFmtId="164" fontId="3" fillId="4" borderId="3" xfId="0" applyNumberFormat="1" applyFont="1" applyFill="1" applyBorder="1"/>
    <xf numFmtId="1" fontId="3" fillId="4" borderId="3" xfId="0" applyNumberFormat="1" applyFont="1" applyFill="1" applyBorder="1"/>
    <xf numFmtId="0" fontId="3" fillId="4" borderId="3" xfId="0" applyFont="1" applyFill="1" applyBorder="1"/>
    <xf numFmtId="0" fontId="8" fillId="4" borderId="3" xfId="0" applyFont="1" applyFill="1" applyBorder="1"/>
    <xf numFmtId="164" fontId="28" fillId="4" borderId="3" xfId="0" applyNumberFormat="1" applyFont="1" applyFill="1" applyBorder="1"/>
    <xf numFmtId="1" fontId="28" fillId="4" borderId="3" xfId="0" applyNumberFormat="1" applyFont="1" applyFill="1" applyBorder="1"/>
    <xf numFmtId="0" fontId="28" fillId="4" borderId="3" xfId="0" applyFont="1" applyFill="1" applyBorder="1"/>
    <xf numFmtId="164" fontId="28" fillId="0" borderId="3" xfId="0" applyNumberFormat="1" applyFont="1" applyBorder="1"/>
    <xf numFmtId="0" fontId="28" fillId="0" borderId="3" xfId="0" applyFont="1" applyBorder="1"/>
    <xf numFmtId="1" fontId="8" fillId="4" borderId="3" xfId="0" applyNumberFormat="1" applyFont="1" applyFill="1" applyBorder="1"/>
    <xf numFmtId="0" fontId="3" fillId="0" borderId="18" xfId="0" applyFont="1" applyBorder="1" applyAlignment="1">
      <alignment horizontal="centerContinuous"/>
    </xf>
    <xf numFmtId="0" fontId="3" fillId="0" borderId="30" xfId="0" applyFont="1" applyBorder="1" applyAlignment="1">
      <alignment horizontal="center"/>
    </xf>
    <xf numFmtId="0" fontId="3" fillId="0" borderId="21" xfId="0" applyFont="1" applyBorder="1"/>
    <xf numFmtId="165" fontId="6" fillId="0" borderId="3" xfId="3" applyNumberFormat="1" applyFont="1" applyBorder="1"/>
    <xf numFmtId="1" fontId="3" fillId="6" borderId="3" xfId="0" applyNumberFormat="1" applyFont="1" applyFill="1" applyBorder="1"/>
    <xf numFmtId="0" fontId="29" fillId="0" borderId="0" xfId="0" applyFont="1"/>
    <xf numFmtId="0" fontId="29" fillId="0" borderId="0" xfId="0" applyFont="1" applyAlignment="1">
      <alignment wrapText="1"/>
    </xf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4" fillId="0" borderId="5" xfId="0" applyFont="1" applyBorder="1" applyAlignment="1">
      <alignment horizontal="left"/>
    </xf>
    <xf numFmtId="0" fontId="31" fillId="0" borderId="3" xfId="0" applyFont="1" applyBorder="1"/>
    <xf numFmtId="1" fontId="30" fillId="0" borderId="3" xfId="0" applyNumberFormat="1" applyFont="1" applyBorder="1"/>
    <xf numFmtId="1" fontId="32" fillId="0" borderId="0" xfId="0" applyNumberFormat="1" applyFont="1"/>
    <xf numFmtId="164" fontId="30" fillId="0" borderId="3" xfId="0" applyNumberFormat="1" applyFont="1" applyBorder="1"/>
    <xf numFmtId="1" fontId="30" fillId="0" borderId="0" xfId="0" applyNumberFormat="1" applyFont="1"/>
    <xf numFmtId="164" fontId="29" fillId="0" borderId="3" xfId="0" applyNumberFormat="1" applyFont="1" applyBorder="1"/>
    <xf numFmtId="164" fontId="29" fillId="0" borderId="0" xfId="0" applyNumberFormat="1" applyFont="1"/>
    <xf numFmtId="1" fontId="29" fillId="0" borderId="3" xfId="0" applyNumberFormat="1" applyFont="1" applyBorder="1"/>
    <xf numFmtId="0" fontId="33" fillId="2" borderId="3" xfId="0" applyFont="1" applyFill="1" applyBorder="1"/>
    <xf numFmtId="1" fontId="33" fillId="0" borderId="0" xfId="0" applyNumberFormat="1" applyFont="1"/>
    <xf numFmtId="0" fontId="30" fillId="0" borderId="3" xfId="0" applyFont="1" applyBorder="1"/>
    <xf numFmtId="1" fontId="29" fillId="0" borderId="0" xfId="0" applyNumberFormat="1" applyFont="1"/>
    <xf numFmtId="0" fontId="30" fillId="2" borderId="3" xfId="0" applyFont="1" applyFill="1" applyBorder="1"/>
    <xf numFmtId="9" fontId="32" fillId="0" borderId="0" xfId="1" applyFont="1"/>
    <xf numFmtId="0" fontId="31" fillId="0" borderId="12" xfId="0" applyFont="1" applyBorder="1"/>
    <xf numFmtId="1" fontId="3" fillId="0" borderId="3" xfId="0" applyNumberFormat="1" applyFont="1" applyBorder="1" applyAlignment="1">
      <alignment horizontal="right"/>
    </xf>
    <xf numFmtId="1" fontId="26" fillId="0" borderId="3" xfId="0" applyNumberFormat="1" applyFont="1" applyBorder="1"/>
    <xf numFmtId="2" fontId="6" fillId="0" borderId="3" xfId="0" applyNumberFormat="1" applyFont="1" applyBorder="1"/>
    <xf numFmtId="1" fontId="8" fillId="0" borderId="0" xfId="0" applyNumberFormat="1" applyFont="1"/>
    <xf numFmtId="0" fontId="31" fillId="0" borderId="1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6" fillId="0" borderId="0" xfId="0" applyFont="1"/>
    <xf numFmtId="164" fontId="2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164" fontId="4" fillId="0" borderId="3" xfId="0" applyNumberFormat="1" applyFont="1" applyBorder="1"/>
    <xf numFmtId="1" fontId="4" fillId="0" borderId="3" xfId="0" applyNumberFormat="1" applyFont="1" applyBorder="1"/>
    <xf numFmtId="1" fontId="8" fillId="0" borderId="3" xfId="0" applyNumberFormat="1" applyFont="1" applyBorder="1" applyAlignment="1">
      <alignment horizontal="right"/>
    </xf>
    <xf numFmtId="0" fontId="4" fillId="0" borderId="13" xfId="0" applyFont="1" applyBorder="1"/>
    <xf numFmtId="1" fontId="4" fillId="0" borderId="13" xfId="0" applyNumberFormat="1" applyFont="1" applyBorder="1"/>
    <xf numFmtId="0" fontId="4" fillId="0" borderId="11" xfId="0" applyFont="1" applyBorder="1"/>
    <xf numFmtId="0" fontId="38" fillId="0" borderId="5" xfId="0" applyFont="1" applyBorder="1" applyAlignment="1">
      <alignment horizontal="left"/>
    </xf>
    <xf numFmtId="0" fontId="30" fillId="0" borderId="12" xfId="0" applyFont="1" applyBorder="1"/>
    <xf numFmtId="0" fontId="29" fillId="2" borderId="3" xfId="0" applyFont="1" applyFill="1" applyBorder="1"/>
    <xf numFmtId="0" fontId="38" fillId="0" borderId="0" xfId="0" applyFont="1"/>
    <xf numFmtId="0" fontId="7" fillId="0" borderId="0" xfId="0" applyFont="1" applyAlignment="1">
      <alignment horizontal="right"/>
    </xf>
    <xf numFmtId="0" fontId="39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" fontId="31" fillId="0" borderId="3" xfId="0" applyNumberFormat="1" applyFont="1" applyBorder="1"/>
    <xf numFmtId="0" fontId="2" fillId="0" borderId="0" xfId="0" applyFont="1"/>
    <xf numFmtId="0" fontId="41" fillId="0" borderId="0" xfId="0" applyFont="1"/>
    <xf numFmtId="0" fontId="42" fillId="0" borderId="0" xfId="0" applyFont="1"/>
    <xf numFmtId="0" fontId="40" fillId="0" borderId="3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/>
    </xf>
    <xf numFmtId="164" fontId="37" fillId="0" borderId="3" xfId="0" applyNumberFormat="1" applyFont="1" applyBorder="1" applyAlignment="1">
      <alignment horizontal="right" vertical="center"/>
    </xf>
    <xf numFmtId="1" fontId="37" fillId="0" borderId="3" xfId="0" applyNumberFormat="1" applyFont="1" applyBorder="1" applyAlignment="1">
      <alignment horizontal="right" vertical="center"/>
    </xf>
    <xf numFmtId="0" fontId="40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3" xfId="0" applyFont="1" applyBorder="1"/>
    <xf numFmtId="1" fontId="2" fillId="0" borderId="13" xfId="0" applyNumberFormat="1" applyFont="1" applyBorder="1"/>
    <xf numFmtId="0" fontId="2" fillId="0" borderId="11" xfId="0" applyFont="1" applyBorder="1"/>
    <xf numFmtId="3" fontId="3" fillId="0" borderId="3" xfId="3" applyNumberFormat="1" applyFont="1" applyBorder="1"/>
    <xf numFmtId="0" fontId="43" fillId="2" borderId="3" xfId="3" applyFont="1" applyFill="1" applyBorder="1"/>
    <xf numFmtId="0" fontId="3" fillId="0" borderId="2" xfId="3" applyFont="1" applyBorder="1"/>
    <xf numFmtId="3" fontId="3" fillId="0" borderId="2" xfId="3" applyNumberFormat="1" applyFont="1" applyBorder="1"/>
    <xf numFmtId="3" fontId="44" fillId="0" borderId="2" xfId="3" applyNumberFormat="1" applyFont="1" applyBorder="1"/>
    <xf numFmtId="0" fontId="45" fillId="0" borderId="0" xfId="0" applyFont="1"/>
    <xf numFmtId="0" fontId="46" fillId="0" borderId="0" xfId="0" applyFont="1"/>
    <xf numFmtId="0" fontId="6" fillId="0" borderId="23" xfId="0" applyFont="1" applyBorder="1"/>
    <xf numFmtId="0" fontId="6" fillId="0" borderId="14" xfId="0" applyFont="1" applyBorder="1" applyAlignment="1">
      <alignment horizontal="center"/>
    </xf>
    <xf numFmtId="164" fontId="6" fillId="2" borderId="3" xfId="0" applyNumberFormat="1" applyFont="1" applyFill="1" applyBorder="1"/>
    <xf numFmtId="14" fontId="11" fillId="0" borderId="0" xfId="0" applyNumberFormat="1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wrapText="1"/>
    </xf>
    <xf numFmtId="1" fontId="2" fillId="0" borderId="3" xfId="0" applyNumberFormat="1" applyFont="1" applyBorder="1"/>
    <xf numFmtId="0" fontId="4" fillId="2" borderId="0" xfId="0" applyFont="1" applyFill="1"/>
    <xf numFmtId="0" fontId="2" fillId="2" borderId="0" xfId="0" applyFont="1" applyFill="1"/>
    <xf numFmtId="0" fontId="2" fillId="5" borderId="0" xfId="0" applyFont="1" applyFill="1"/>
    <xf numFmtId="0" fontId="8" fillId="7" borderId="3" xfId="0" applyFont="1" applyFill="1" applyBorder="1"/>
    <xf numFmtId="0" fontId="0" fillId="0" borderId="3" xfId="0" applyBorder="1"/>
    <xf numFmtId="0" fontId="6" fillId="0" borderId="3" xfId="0" applyFont="1" applyBorder="1" applyAlignment="1">
      <alignment horizontal="left"/>
    </xf>
    <xf numFmtId="0" fontId="48" fillId="0" borderId="0" xfId="0" applyFont="1"/>
    <xf numFmtId="1" fontId="6" fillId="2" borderId="3" xfId="0" applyNumberFormat="1" applyFont="1" applyFill="1" applyBorder="1"/>
    <xf numFmtId="1" fontId="3" fillId="2" borderId="3" xfId="0" applyNumberFormat="1" applyFont="1" applyFill="1" applyBorder="1"/>
    <xf numFmtId="0" fontId="3" fillId="2" borderId="0" xfId="0" applyFont="1" applyFill="1"/>
    <xf numFmtId="0" fontId="37" fillId="0" borderId="3" xfId="0" applyFont="1" applyBorder="1"/>
    <xf numFmtId="1" fontId="3" fillId="2" borderId="0" xfId="0" applyNumberFormat="1" applyFont="1" applyFill="1"/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9" fillId="0" borderId="3" xfId="0" applyFont="1" applyBorder="1"/>
    <xf numFmtId="0" fontId="8" fillId="0" borderId="23" xfId="0" applyFont="1" applyBorder="1"/>
    <xf numFmtId="0" fontId="50" fillId="2" borderId="0" xfId="0" applyFont="1" applyFill="1"/>
    <xf numFmtId="0" fontId="50" fillId="0" borderId="0" xfId="0" applyFont="1"/>
    <xf numFmtId="0" fontId="8" fillId="0" borderId="3" xfId="0" applyFont="1" applyBorder="1"/>
    <xf numFmtId="0" fontId="52" fillId="0" borderId="3" xfId="0" applyFont="1" applyBorder="1"/>
    <xf numFmtId="0" fontId="45" fillId="0" borderId="9" xfId="0" applyFont="1" applyBorder="1"/>
    <xf numFmtId="2" fontId="4" fillId="0" borderId="3" xfId="0" applyNumberFormat="1" applyFont="1" applyBorder="1"/>
    <xf numFmtId="0" fontId="4" fillId="0" borderId="9" xfId="0" applyFont="1" applyBorder="1"/>
    <xf numFmtId="1" fontId="4" fillId="0" borderId="9" xfId="0" applyNumberFormat="1" applyFont="1" applyBorder="1"/>
    <xf numFmtId="0" fontId="46" fillId="0" borderId="9" xfId="0" applyFont="1" applyBorder="1"/>
    <xf numFmtId="0" fontId="47" fillId="0" borderId="0" xfId="4"/>
    <xf numFmtId="0" fontId="11" fillId="0" borderId="0" xfId="4" applyFont="1" applyAlignment="1">
      <alignment horizontal="center"/>
    </xf>
    <xf numFmtId="0" fontId="11" fillId="0" borderId="0" xfId="4" applyFont="1" applyAlignment="1">
      <alignment horizontal="left"/>
    </xf>
    <xf numFmtId="0" fontId="53" fillId="0" borderId="0" xfId="4" applyFont="1" applyAlignment="1">
      <alignment horizontal="left"/>
    </xf>
    <xf numFmtId="0" fontId="11" fillId="0" borderId="0" xfId="4" applyFont="1" applyAlignment="1">
      <alignment horizontal="left" vertical="center" wrapText="1"/>
    </xf>
    <xf numFmtId="0" fontId="2" fillId="3" borderId="0" xfId="0" applyFont="1" applyFill="1"/>
    <xf numFmtId="164" fontId="52" fillId="0" borderId="3" xfId="0" applyNumberFormat="1" applyFont="1" applyBorder="1"/>
    <xf numFmtId="0" fontId="52" fillId="0" borderId="12" xfId="0" applyFont="1" applyBorder="1"/>
    <xf numFmtId="167" fontId="4" fillId="0" borderId="3" xfId="0" applyNumberFormat="1" applyFont="1" applyBorder="1"/>
    <xf numFmtId="0" fontId="4" fillId="0" borderId="12" xfId="0" applyFont="1" applyBorder="1"/>
    <xf numFmtId="1" fontId="4" fillId="0" borderId="12" xfId="0" applyNumberFormat="1" applyFont="1" applyBorder="1"/>
    <xf numFmtId="0" fontId="26" fillId="0" borderId="12" xfId="0" applyFont="1" applyBorder="1"/>
    <xf numFmtId="167" fontId="0" fillId="0" borderId="3" xfId="0" applyNumberFormat="1" applyBorder="1"/>
    <xf numFmtId="0" fontId="12" fillId="7" borderId="3" xfId="0" applyFont="1" applyFill="1" applyBorder="1"/>
    <xf numFmtId="164" fontId="12" fillId="7" borderId="3" xfId="0" applyNumberFormat="1" applyFont="1" applyFill="1" applyBorder="1"/>
    <xf numFmtId="0" fontId="12" fillId="2" borderId="3" xfId="0" applyFont="1" applyFill="1" applyBorder="1"/>
    <xf numFmtId="164" fontId="12" fillId="0" borderId="0" xfId="0" applyNumberFormat="1" applyFont="1"/>
    <xf numFmtId="2" fontId="12" fillId="0" borderId="3" xfId="0" applyNumberFormat="1" applyFont="1" applyBorder="1"/>
    <xf numFmtId="0" fontId="54" fillId="0" borderId="0" xfId="0" applyFont="1"/>
    <xf numFmtId="164" fontId="8" fillId="7" borderId="3" xfId="0" applyNumberFormat="1" applyFont="1" applyFill="1" applyBorder="1"/>
    <xf numFmtId="1" fontId="8" fillId="7" borderId="3" xfId="0" applyNumberFormat="1" applyFont="1" applyFill="1" applyBorder="1"/>
    <xf numFmtId="0" fontId="8" fillId="0" borderId="9" xfId="0" applyFont="1" applyBorder="1"/>
    <xf numFmtId="0" fontId="6" fillId="0" borderId="3" xfId="6" applyFont="1" applyBorder="1"/>
    <xf numFmtId="0" fontId="2" fillId="0" borderId="0" xfId="6"/>
    <xf numFmtId="0" fontId="6" fillId="6" borderId="3" xfId="6" applyFont="1" applyFill="1" applyBorder="1"/>
    <xf numFmtId="164" fontId="6" fillId="6" borderId="3" xfId="6" applyNumberFormat="1" applyFont="1" applyFill="1" applyBorder="1"/>
    <xf numFmtId="1" fontId="6" fillId="6" borderId="3" xfId="6" applyNumberFormat="1" applyFont="1" applyFill="1" applyBorder="1"/>
    <xf numFmtId="0" fontId="6" fillId="2" borderId="3" xfId="6" applyFont="1" applyFill="1" applyBorder="1"/>
    <xf numFmtId="164" fontId="6" fillId="0" borderId="3" xfId="6" applyNumberFormat="1" applyFont="1" applyBorder="1"/>
    <xf numFmtId="1" fontId="3" fillId="0" borderId="3" xfId="6" applyNumberFormat="1" applyFont="1" applyBorder="1"/>
    <xf numFmtId="1" fontId="3" fillId="6" borderId="3" xfId="6" applyNumberFormat="1" applyFont="1" applyFill="1" applyBorder="1"/>
    <xf numFmtId="0" fontId="8" fillId="0" borderId="3" xfId="6" applyFont="1" applyBorder="1"/>
    <xf numFmtId="0" fontId="3" fillId="0" borderId="3" xfId="6" applyFont="1" applyBorder="1"/>
    <xf numFmtId="0" fontId="8" fillId="6" borderId="3" xfId="6" applyFont="1" applyFill="1" applyBorder="1"/>
    <xf numFmtId="0" fontId="3" fillId="6" borderId="3" xfId="6" applyFont="1" applyFill="1" applyBorder="1"/>
    <xf numFmtId="164" fontId="3" fillId="6" borderId="3" xfId="6" applyNumberFormat="1" applyFont="1" applyFill="1" applyBorder="1"/>
    <xf numFmtId="0" fontId="3" fillId="6" borderId="3" xfId="6" applyFont="1" applyFill="1" applyBorder="1" applyAlignment="1">
      <alignment horizontal="right"/>
    </xf>
    <xf numFmtId="0" fontId="8" fillId="2" borderId="3" xfId="6" applyFont="1" applyFill="1" applyBorder="1"/>
    <xf numFmtId="164" fontId="3" fillId="0" borderId="3" xfId="6" applyNumberFormat="1" applyFont="1" applyBorder="1"/>
    <xf numFmtId="0" fontId="3" fillId="6" borderId="12" xfId="6" applyFont="1" applyFill="1" applyBorder="1"/>
    <xf numFmtId="1" fontId="8" fillId="0" borderId="3" xfId="6" applyNumberFormat="1" applyFont="1" applyBorder="1"/>
    <xf numFmtId="0" fontId="3" fillId="0" borderId="0" xfId="0" applyFont="1" applyAlignment="1">
      <alignment horizontal="left"/>
    </xf>
    <xf numFmtId="0" fontId="6" fillId="6" borderId="0" xfId="6" applyFont="1" applyFill="1"/>
    <xf numFmtId="1" fontId="3" fillId="6" borderId="0" xfId="6" applyNumberFormat="1" applyFont="1" applyFill="1"/>
    <xf numFmtId="0" fontId="3" fillId="6" borderId="0" xfId="6" applyFont="1" applyFill="1" applyAlignment="1">
      <alignment horizontal="left"/>
    </xf>
    <xf numFmtId="0" fontId="3" fillId="6" borderId="0" xfId="6" applyFont="1" applyFill="1"/>
    <xf numFmtId="164" fontId="3" fillId="0" borderId="3" xfId="6" applyNumberFormat="1" applyFont="1" applyBorder="1" applyAlignment="1">
      <alignment horizontal="right"/>
    </xf>
    <xf numFmtId="0" fontId="3" fillId="0" borderId="0" xfId="6" applyFont="1"/>
    <xf numFmtId="1" fontId="4" fillId="0" borderId="0" xfId="0" applyNumberFormat="1" applyFont="1"/>
    <xf numFmtId="0" fontId="12" fillId="8" borderId="16" xfId="6" applyFont="1" applyFill="1" applyBorder="1"/>
    <xf numFmtId="164" fontId="12" fillId="8" borderId="16" xfId="6" applyNumberFormat="1" applyFont="1" applyFill="1" applyBorder="1"/>
    <xf numFmtId="1" fontId="12" fillId="8" borderId="16" xfId="6" applyNumberFormat="1" applyFont="1" applyFill="1" applyBorder="1"/>
    <xf numFmtId="1" fontId="12" fillId="0" borderId="0" xfId="6" applyNumberFormat="1" applyFont="1"/>
    <xf numFmtId="0" fontId="12" fillId="8" borderId="33" xfId="6" applyFont="1" applyFill="1" applyBorder="1"/>
    <xf numFmtId="0" fontId="12" fillId="8" borderId="34" xfId="6" applyFont="1" applyFill="1" applyBorder="1"/>
    <xf numFmtId="0" fontId="12" fillId="8" borderId="35" xfId="6" applyFont="1" applyFill="1" applyBorder="1"/>
    <xf numFmtId="0" fontId="4" fillId="0" borderId="0" xfId="6" applyFont="1"/>
    <xf numFmtId="0" fontId="12" fillId="7" borderId="16" xfId="6" applyFont="1" applyFill="1" applyBorder="1"/>
    <xf numFmtId="1" fontId="12" fillId="7" borderId="16" xfId="6" applyNumberFormat="1" applyFont="1" applyFill="1" applyBorder="1"/>
    <xf numFmtId="0" fontId="12" fillId="0" borderId="33" xfId="6" applyFont="1" applyBorder="1" applyProtection="1">
      <protection locked="0"/>
    </xf>
    <xf numFmtId="164" fontId="12" fillId="0" borderId="16" xfId="6" applyNumberFormat="1" applyFont="1" applyBorder="1"/>
    <xf numFmtId="0" fontId="12" fillId="0" borderId="16" xfId="6" applyFont="1" applyBorder="1"/>
    <xf numFmtId="0" fontId="12" fillId="0" borderId="34" xfId="6" applyFont="1" applyBorder="1"/>
    <xf numFmtId="0" fontId="12" fillId="0" borderId="35" xfId="6" applyFont="1" applyBorder="1" applyProtection="1">
      <protection locked="0"/>
    </xf>
    <xf numFmtId="0" fontId="4" fillId="0" borderId="0" xfId="6" applyFont="1" applyProtection="1">
      <protection locked="0"/>
    </xf>
    <xf numFmtId="0" fontId="12" fillId="0" borderId="16" xfId="6" applyFont="1" applyBorder="1" applyProtection="1">
      <protection locked="0"/>
    </xf>
    <xf numFmtId="1" fontId="12" fillId="0" borderId="16" xfId="6" applyNumberFormat="1" applyFont="1" applyBorder="1"/>
    <xf numFmtId="1" fontId="12" fillId="0" borderId="34" xfId="6" applyNumberFormat="1" applyFont="1" applyBorder="1"/>
    <xf numFmtId="0" fontId="8" fillId="0" borderId="0" xfId="6" applyFont="1" applyAlignment="1">
      <alignment horizontal="left"/>
    </xf>
    <xf numFmtId="0" fontId="2" fillId="0" borderId="0" xfId="6" applyProtection="1">
      <protection locked="0"/>
    </xf>
    <xf numFmtId="0" fontId="8" fillId="8" borderId="16" xfId="6" applyFont="1" applyFill="1" applyBorder="1"/>
    <xf numFmtId="164" fontId="8" fillId="8" borderId="16" xfId="6" applyNumberFormat="1" applyFont="1" applyFill="1" applyBorder="1"/>
    <xf numFmtId="0" fontId="8" fillId="0" borderId="0" xfId="6" applyFont="1"/>
    <xf numFmtId="0" fontId="8" fillId="8" borderId="33" xfId="6" applyFont="1" applyFill="1" applyBorder="1"/>
    <xf numFmtId="1" fontId="8" fillId="8" borderId="16" xfId="6" applyNumberFormat="1" applyFont="1" applyFill="1" applyBorder="1"/>
    <xf numFmtId="1" fontId="8" fillId="8" borderId="34" xfId="6" applyNumberFormat="1" applyFont="1" applyFill="1" applyBorder="1"/>
    <xf numFmtId="0" fontId="8" fillId="8" borderId="35" xfId="6" applyFont="1" applyFill="1" applyBorder="1"/>
    <xf numFmtId="164" fontId="8" fillId="8" borderId="3" xfId="6" applyNumberFormat="1" applyFont="1" applyFill="1" applyBorder="1"/>
    <xf numFmtId="1" fontId="8" fillId="8" borderId="3" xfId="6" applyNumberFormat="1" applyFont="1" applyFill="1" applyBorder="1"/>
    <xf numFmtId="0" fontId="8" fillId="0" borderId="16" xfId="6" applyFont="1" applyBorder="1"/>
    <xf numFmtId="164" fontId="8" fillId="0" borderId="16" xfId="6" applyNumberFormat="1" applyFont="1" applyBorder="1"/>
    <xf numFmtId="1" fontId="8" fillId="0" borderId="16" xfId="6" applyNumberFormat="1" applyFont="1" applyBorder="1"/>
    <xf numFmtId="1" fontId="8" fillId="0" borderId="0" xfId="6" applyNumberFormat="1" applyFont="1"/>
    <xf numFmtId="0" fontId="8" fillId="0" borderId="33" xfId="6" applyFont="1" applyBorder="1" applyProtection="1">
      <protection locked="0"/>
    </xf>
    <xf numFmtId="0" fontId="8" fillId="0" borderId="16" xfId="6" applyFont="1" applyBorder="1" applyProtection="1">
      <protection locked="0"/>
    </xf>
    <xf numFmtId="0" fontId="8" fillId="0" borderId="34" xfId="6" applyFont="1" applyBorder="1" applyProtection="1">
      <protection locked="0"/>
    </xf>
    <xf numFmtId="0" fontId="8" fillId="0" borderId="35" xfId="6" applyFont="1" applyBorder="1" applyProtection="1">
      <protection locked="0"/>
    </xf>
    <xf numFmtId="1" fontId="8" fillId="7" borderId="16" xfId="6" applyNumberFormat="1" applyFont="1" applyFill="1" applyBorder="1"/>
    <xf numFmtId="1" fontId="8" fillId="7" borderId="34" xfId="6" applyNumberFormat="1" applyFont="1" applyFill="1" applyBorder="1"/>
    <xf numFmtId="164" fontId="8" fillId="7" borderId="16" xfId="6" applyNumberFormat="1" applyFont="1" applyFill="1" applyBorder="1"/>
    <xf numFmtId="0" fontId="8" fillId="7" borderId="16" xfId="6" applyFont="1" applyFill="1" applyBorder="1"/>
    <xf numFmtId="1" fontId="8" fillId="7" borderId="16" xfId="6" applyNumberFormat="1" applyFont="1" applyFill="1" applyBorder="1" applyProtection="1">
      <protection locked="0"/>
    </xf>
    <xf numFmtId="0" fontId="8" fillId="0" borderId="26" xfId="6" applyFont="1" applyBorder="1"/>
    <xf numFmtId="164" fontId="8" fillId="0" borderId="26" xfId="6" applyNumberFormat="1" applyFont="1" applyBorder="1"/>
    <xf numFmtId="0" fontId="8" fillId="0" borderId="43" xfId="6" applyFont="1" applyBorder="1" applyProtection="1">
      <protection locked="0"/>
    </xf>
    <xf numFmtId="0" fontId="8" fillId="0" borderId="26" xfId="6" applyFont="1" applyBorder="1" applyProtection="1">
      <protection locked="0"/>
    </xf>
    <xf numFmtId="0" fontId="8" fillId="0" borderId="27" xfId="6" applyFont="1" applyBorder="1" applyProtection="1">
      <protection locked="0"/>
    </xf>
    <xf numFmtId="0" fontId="8" fillId="0" borderId="3" xfId="6" applyFont="1" applyBorder="1" applyProtection="1">
      <protection locked="0"/>
    </xf>
    <xf numFmtId="1" fontId="8" fillId="7" borderId="3" xfId="6" applyNumberFormat="1" applyFont="1" applyFill="1" applyBorder="1"/>
    <xf numFmtId="0" fontId="55" fillId="0" borderId="3" xfId="0" applyFont="1" applyBorder="1"/>
    <xf numFmtId="0" fontId="56" fillId="0" borderId="0" xfId="0" applyFont="1"/>
    <xf numFmtId="164" fontId="55" fillId="0" borderId="3" xfId="0" applyNumberFormat="1" applyFont="1" applyBorder="1"/>
    <xf numFmtId="0" fontId="57" fillId="0" borderId="3" xfId="0" applyFont="1" applyBorder="1"/>
    <xf numFmtId="1" fontId="55" fillId="0" borderId="3" xfId="0" applyNumberFormat="1" applyFont="1" applyBorder="1"/>
    <xf numFmtId="0" fontId="59" fillId="0" borderId="0" xfId="0" applyFont="1"/>
    <xf numFmtId="0" fontId="54" fillId="0" borderId="3" xfId="0" applyFont="1" applyBorder="1"/>
    <xf numFmtId="0" fontId="58" fillId="0" borderId="3" xfId="0" applyFont="1" applyBorder="1"/>
    <xf numFmtId="164" fontId="58" fillId="0" borderId="3" xfId="0" applyNumberFormat="1" applyFont="1" applyBorder="1"/>
    <xf numFmtId="1" fontId="58" fillId="0" borderId="3" xfId="0" applyNumberFormat="1" applyFont="1" applyBorder="1"/>
    <xf numFmtId="0" fontId="60" fillId="0" borderId="0" xfId="0" applyFont="1"/>
    <xf numFmtId="0" fontId="6" fillId="0" borderId="14" xfId="0" applyFont="1" applyBorder="1"/>
    <xf numFmtId="0" fontId="8" fillId="0" borderId="23" xfId="0" applyFont="1" applyBorder="1" applyAlignment="1">
      <alignment horizontal="right"/>
    </xf>
    <xf numFmtId="0" fontId="2" fillId="0" borderId="14" xfId="0" applyFont="1" applyBorder="1"/>
    <xf numFmtId="0" fontId="3" fillId="0" borderId="14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" fontId="3" fillId="0" borderId="14" xfId="0" applyNumberFormat="1" applyFont="1" applyBorder="1" applyAlignment="1">
      <alignment horizontal="right"/>
    </xf>
    <xf numFmtId="1" fontId="3" fillId="0" borderId="17" xfId="0" applyNumberFormat="1" applyFont="1" applyBorder="1"/>
    <xf numFmtId="0" fontId="3" fillId="0" borderId="24" xfId="0" applyFont="1" applyBorder="1" applyAlignment="1">
      <alignment horizontal="right"/>
    </xf>
    <xf numFmtId="1" fontId="3" fillId="0" borderId="15" xfId="0" applyNumberFormat="1" applyFont="1" applyBorder="1" applyAlignment="1">
      <alignment horizontal="right"/>
    </xf>
    <xf numFmtId="1" fontId="3" fillId="0" borderId="17" xfId="0" applyNumberFormat="1" applyFont="1" applyBorder="1" applyAlignment="1">
      <alignment horizontal="righ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3" xfId="0" applyFont="1" applyBorder="1"/>
    <xf numFmtId="0" fontId="6" fillId="0" borderId="12" xfId="0" applyFont="1" applyBorder="1"/>
    <xf numFmtId="164" fontId="6" fillId="0" borderId="9" xfId="0" applyNumberFormat="1" applyFont="1" applyBorder="1"/>
    <xf numFmtId="0" fontId="8" fillId="0" borderId="11" xfId="0" applyFont="1" applyBorder="1"/>
    <xf numFmtId="164" fontId="3" fillId="0" borderId="15" xfId="0" applyNumberFormat="1" applyFont="1" applyBorder="1"/>
    <xf numFmtId="0" fontId="8" fillId="6" borderId="3" xfId="0" applyFont="1" applyFill="1" applyBorder="1"/>
    <xf numFmtId="2" fontId="3" fillId="0" borderId="3" xfId="0" applyNumberFormat="1" applyFont="1" applyBorder="1"/>
    <xf numFmtId="2" fontId="6" fillId="0" borderId="14" xfId="0" applyNumberFormat="1" applyFont="1" applyBorder="1"/>
    <xf numFmtId="0" fontId="3" fillId="0" borderId="3" xfId="0" applyFont="1" applyBorder="1" applyAlignment="1">
      <alignment horizontal="left"/>
    </xf>
    <xf numFmtId="0" fontId="11" fillId="0" borderId="0" xfId="6" applyFont="1" applyAlignment="1">
      <alignment horizontal="center"/>
    </xf>
    <xf numFmtId="0" fontId="11" fillId="0" borderId="0" xfId="6" applyFont="1" applyAlignment="1">
      <alignment horizontal="left"/>
    </xf>
    <xf numFmtId="164" fontId="2" fillId="0" borderId="0" xfId="6" applyNumberFormat="1"/>
    <xf numFmtId="0" fontId="53" fillId="0" borderId="0" xfId="6" applyFont="1" applyAlignment="1">
      <alignment horizontal="left"/>
    </xf>
    <xf numFmtId="0" fontId="11" fillId="0" borderId="0" xfId="6" applyFont="1" applyAlignment="1">
      <alignment horizontal="left" vertical="center" wrapText="1"/>
    </xf>
    <xf numFmtId="0" fontId="4" fillId="0" borderId="2" xfId="0" applyFont="1" applyBorder="1"/>
    <xf numFmtId="0" fontId="15" fillId="0" borderId="0" xfId="6" applyFont="1" applyProtection="1">
      <protection locked="0"/>
    </xf>
    <xf numFmtId="0" fontId="12" fillId="0" borderId="0" xfId="6" applyFont="1" applyAlignment="1" applyProtection="1">
      <alignment horizontal="right"/>
      <protection locked="0"/>
    </xf>
    <xf numFmtId="0" fontId="11" fillId="0" borderId="0" xfId="6" applyFont="1" applyProtection="1">
      <protection locked="0"/>
    </xf>
    <xf numFmtId="0" fontId="11" fillId="0" borderId="0" xfId="6" applyFont="1" applyAlignment="1" applyProtection="1">
      <alignment wrapText="1"/>
      <protection locked="0"/>
    </xf>
    <xf numFmtId="0" fontId="5" fillId="0" borderId="0" xfId="6" applyFont="1" applyProtection="1">
      <protection locked="0"/>
    </xf>
    <xf numFmtId="0" fontId="12" fillId="0" borderId="0" xfId="6" applyFont="1" applyProtection="1">
      <protection locked="0"/>
    </xf>
    <xf numFmtId="0" fontId="5" fillId="0" borderId="25" xfId="6" applyFont="1" applyBorder="1" applyAlignment="1" applyProtection="1">
      <alignment horizontal="left"/>
      <protection locked="0"/>
    </xf>
    <xf numFmtId="0" fontId="8" fillId="0" borderId="26" xfId="6" applyFont="1" applyBorder="1" applyAlignment="1">
      <alignment horizontal="center"/>
    </xf>
    <xf numFmtId="0" fontId="2" fillId="0" borderId="0" xfId="6" applyAlignment="1" applyProtection="1">
      <alignment horizontal="center"/>
      <protection locked="0"/>
    </xf>
    <xf numFmtId="0" fontId="8" fillId="0" borderId="26" xfId="6" applyFont="1" applyBorder="1" applyAlignment="1" applyProtection="1">
      <alignment horizontal="center"/>
      <protection locked="0"/>
    </xf>
    <xf numFmtId="0" fontId="8" fillId="0" borderId="27" xfId="6" applyFont="1" applyBorder="1" applyAlignment="1" applyProtection="1">
      <alignment horizontal="center"/>
      <protection locked="0"/>
    </xf>
    <xf numFmtId="0" fontId="8" fillId="0" borderId="28" xfId="6" applyFont="1" applyBorder="1"/>
    <xf numFmtId="0" fontId="8" fillId="0" borderId="28" xfId="6" applyFont="1" applyBorder="1" applyAlignment="1">
      <alignment horizontal="center"/>
    </xf>
    <xf numFmtId="0" fontId="8" fillId="0" borderId="28" xfId="6" applyFont="1" applyBorder="1" applyAlignment="1" applyProtection="1">
      <alignment horizontal="center"/>
      <protection locked="0"/>
    </xf>
    <xf numFmtId="0" fontId="8" fillId="0" borderId="29" xfId="6" applyFont="1" applyBorder="1" applyAlignment="1" applyProtection="1">
      <alignment horizontal="center"/>
      <protection locked="0"/>
    </xf>
    <xf numFmtId="2" fontId="12" fillId="7" borderId="16" xfId="6" applyNumberFormat="1" applyFont="1" applyFill="1" applyBorder="1"/>
    <xf numFmtId="0" fontId="4" fillId="3" borderId="0" xfId="0" applyFont="1" applyFill="1"/>
    <xf numFmtId="2" fontId="63" fillId="0" borderId="0" xfId="0" applyNumberFormat="1" applyFont="1" applyAlignment="1">
      <alignment wrapText="1"/>
    </xf>
    <xf numFmtId="2" fontId="29" fillId="0" borderId="0" xfId="0" applyNumberFormat="1" applyFont="1" applyAlignment="1">
      <alignment wrapText="1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2" fontId="6" fillId="0" borderId="23" xfId="0" applyNumberFormat="1" applyFont="1" applyBorder="1"/>
    <xf numFmtId="2" fontId="6" fillId="0" borderId="0" xfId="0" applyNumberFormat="1" applyFont="1"/>
    <xf numFmtId="2" fontId="3" fillId="0" borderId="14" xfId="0" applyNumberFormat="1" applyFont="1" applyBorder="1"/>
    <xf numFmtId="2" fontId="8" fillId="0" borderId="23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2" fillId="0" borderId="0" xfId="0" applyNumberFormat="1" applyFont="1"/>
    <xf numFmtId="2" fontId="3" fillId="0" borderId="3" xfId="0" applyNumberFormat="1" applyFont="1" applyBorder="1" applyAlignment="1">
      <alignment horizontal="right"/>
    </xf>
    <xf numFmtId="2" fontId="3" fillId="0" borderId="14" xfId="0" applyNumberFormat="1" applyFont="1" applyBorder="1" applyAlignment="1">
      <alignment horizontal="right"/>
    </xf>
    <xf numFmtId="0" fontId="2" fillId="10" borderId="3" xfId="0" applyFont="1" applyFill="1" applyBorder="1" applyAlignment="1">
      <alignment horizontal="right" vertical="center"/>
    </xf>
    <xf numFmtId="0" fontId="2" fillId="10" borderId="14" xfId="0" applyFont="1" applyFill="1" applyBorder="1" applyAlignment="1">
      <alignment horizontal="right" vertical="center"/>
    </xf>
    <xf numFmtId="2" fontId="3" fillId="0" borderId="23" xfId="0" applyNumberFormat="1" applyFont="1" applyBorder="1" applyAlignment="1">
      <alignment horizontal="right"/>
    </xf>
    <xf numFmtId="2" fontId="8" fillId="0" borderId="11" xfId="0" applyNumberFormat="1" applyFont="1" applyBorder="1" applyAlignment="1">
      <alignment horizontal="right"/>
    </xf>
    <xf numFmtId="0" fontId="62" fillId="9" borderId="0" xfId="7"/>
    <xf numFmtId="1" fontId="12" fillId="7" borderId="3" xfId="0" applyNumberFormat="1" applyFont="1" applyFill="1" applyBorder="1"/>
    <xf numFmtId="1" fontId="61" fillId="7" borderId="3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64" fillId="0" borderId="0" xfId="0" applyFont="1" applyAlignment="1">
      <alignment horizontal="right"/>
    </xf>
    <xf numFmtId="0" fontId="65" fillId="0" borderId="3" xfId="0" applyFont="1" applyBorder="1" applyAlignment="1">
      <alignment horizontal="center"/>
    </xf>
    <xf numFmtId="0" fontId="65" fillId="0" borderId="3" xfId="0" applyFont="1" applyBorder="1"/>
    <xf numFmtId="2" fontId="12" fillId="6" borderId="3" xfId="0" applyNumberFormat="1" applyFont="1" applyFill="1" applyBorder="1"/>
    <xf numFmtId="164" fontId="21" fillId="0" borderId="3" xfId="0" applyNumberFormat="1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/>
    </xf>
    <xf numFmtId="0" fontId="21" fillId="0" borderId="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6" fillId="0" borderId="11" xfId="0" applyNumberFormat="1" applyFont="1" applyBorder="1"/>
    <xf numFmtId="0" fontId="8" fillId="0" borderId="11" xfId="0" applyFont="1" applyBorder="1" applyAlignment="1">
      <alignment horizontal="right"/>
    </xf>
    <xf numFmtId="0" fontId="66" fillId="10" borderId="3" xfId="0" applyFont="1" applyFill="1" applyBorder="1" applyAlignment="1">
      <alignment horizontal="right" vertical="center" wrapText="1"/>
    </xf>
    <xf numFmtId="0" fontId="66" fillId="10" borderId="14" xfId="0" applyFont="1" applyFill="1" applyBorder="1" applyAlignment="1">
      <alignment horizontal="right" vertical="center" wrapText="1"/>
    </xf>
    <xf numFmtId="0" fontId="67" fillId="10" borderId="3" xfId="0" applyFont="1" applyFill="1" applyBorder="1" applyAlignment="1">
      <alignment horizontal="right" vertical="center"/>
    </xf>
    <xf numFmtId="0" fontId="67" fillId="10" borderId="14" xfId="0" applyFont="1" applyFill="1" applyBorder="1" applyAlignment="1">
      <alignment horizontal="right" vertical="center"/>
    </xf>
    <xf numFmtId="0" fontId="3" fillId="0" borderId="11" xfId="0" applyFont="1" applyBorder="1" applyAlignment="1">
      <alignment horizontal="right"/>
    </xf>
    <xf numFmtId="2" fontId="3" fillId="0" borderId="11" xfId="0" applyNumberFormat="1" applyFont="1" applyBorder="1" applyAlignment="1">
      <alignment horizontal="right"/>
    </xf>
    <xf numFmtId="0" fontId="3" fillId="0" borderId="48" xfId="0" applyFont="1" applyBorder="1" applyAlignment="1">
      <alignment horizontal="right"/>
    </xf>
    <xf numFmtId="164" fontId="8" fillId="0" borderId="16" xfId="6" applyNumberFormat="1" applyFont="1" applyBorder="1" applyProtection="1">
      <protection locked="0"/>
    </xf>
    <xf numFmtId="0" fontId="30" fillId="0" borderId="0" xfId="5" applyFont="1"/>
    <xf numFmtId="1" fontId="68" fillId="0" borderId="0" xfId="0" applyNumberFormat="1" applyFont="1"/>
    <xf numFmtId="0" fontId="40" fillId="0" borderId="3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0" fillId="0" borderId="13" xfId="0" applyBorder="1"/>
    <xf numFmtId="0" fontId="0" fillId="0" borderId="11" xfId="0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2" fillId="0" borderId="13" xfId="0" applyFont="1" applyBorder="1"/>
    <xf numFmtId="0" fontId="2" fillId="0" borderId="11" xfId="0" applyFont="1" applyBorder="1"/>
    <xf numFmtId="0" fontId="3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0" fontId="11" fillId="0" borderId="0" xfId="6" applyFont="1" applyAlignment="1">
      <alignment horizontal="center"/>
    </xf>
    <xf numFmtId="0" fontId="53" fillId="0" borderId="0" xfId="6" applyFont="1" applyAlignment="1">
      <alignment horizontal="center"/>
    </xf>
    <xf numFmtId="0" fontId="11" fillId="0" borderId="0" xfId="6" applyFont="1" applyAlignment="1">
      <alignment horizontal="center" wrapText="1"/>
    </xf>
    <xf numFmtId="0" fontId="11" fillId="0" borderId="0" xfId="6" applyFont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4" applyFont="1" applyAlignment="1">
      <alignment horizontal="center"/>
    </xf>
    <xf numFmtId="0" fontId="53" fillId="0" borderId="0" xfId="4" applyFont="1" applyAlignment="1">
      <alignment horizontal="center"/>
    </xf>
    <xf numFmtId="0" fontId="11" fillId="0" borderId="0" xfId="4" applyFont="1" applyAlignment="1">
      <alignment horizontal="center" wrapText="1"/>
    </xf>
    <xf numFmtId="0" fontId="3" fillId="6" borderId="3" xfId="6" applyFont="1" applyFill="1" applyBorder="1" applyAlignment="1">
      <alignment horizontal="left"/>
    </xf>
    <xf numFmtId="0" fontId="11" fillId="0" borderId="0" xfId="4" applyFont="1" applyAlignment="1">
      <alignment horizontal="center" vertical="center" wrapText="1"/>
    </xf>
    <xf numFmtId="0" fontId="3" fillId="0" borderId="12" xfId="6" applyFont="1" applyBorder="1" applyAlignment="1">
      <alignment horizontal="left"/>
    </xf>
    <xf numFmtId="0" fontId="2" fillId="0" borderId="13" xfId="6" applyBorder="1"/>
    <xf numFmtId="0" fontId="2" fillId="0" borderId="11" xfId="6" applyBorder="1"/>
    <xf numFmtId="0" fontId="3" fillId="6" borderId="12" xfId="6" applyFont="1" applyFill="1" applyBorder="1" applyAlignment="1">
      <alignment horizontal="left"/>
    </xf>
    <xf numFmtId="0" fontId="3" fillId="6" borderId="13" xfId="6" applyFont="1" applyFill="1" applyBorder="1" applyAlignment="1">
      <alignment horizontal="left"/>
    </xf>
    <xf numFmtId="0" fontId="3" fillId="6" borderId="11" xfId="6" applyFont="1" applyFill="1" applyBorder="1" applyAlignment="1">
      <alignment horizontal="left"/>
    </xf>
    <xf numFmtId="0" fontId="11" fillId="0" borderId="0" xfId="0" applyFont="1" applyAlignment="1">
      <alignment horizontal="center" wrapText="1"/>
    </xf>
    <xf numFmtId="0" fontId="11" fillId="0" borderId="25" xfId="6" applyFont="1" applyBorder="1" applyAlignment="1">
      <alignment horizontal="left" wrapText="1"/>
    </xf>
    <xf numFmtId="0" fontId="12" fillId="0" borderId="16" xfId="6" applyFont="1" applyBorder="1" applyAlignment="1" applyProtection="1">
      <alignment horizontal="left"/>
      <protection locked="0"/>
    </xf>
    <xf numFmtId="0" fontId="12" fillId="0" borderId="16" xfId="6" applyFont="1" applyBorder="1" applyAlignment="1">
      <alignment horizontal="left"/>
    </xf>
    <xf numFmtId="0" fontId="8" fillId="0" borderId="36" xfId="6" applyFont="1" applyBorder="1" applyAlignment="1">
      <alignment horizontal="left"/>
    </xf>
    <xf numFmtId="0" fontId="8" fillId="0" borderId="37" xfId="6" applyFont="1" applyBorder="1" applyAlignment="1">
      <alignment horizontal="left"/>
    </xf>
    <xf numFmtId="0" fontId="8" fillId="0" borderId="35" xfId="6" applyFont="1" applyBorder="1" applyAlignment="1">
      <alignment horizontal="left"/>
    </xf>
    <xf numFmtId="0" fontId="8" fillId="0" borderId="41" xfId="6" applyFont="1" applyBorder="1" applyAlignment="1" applyProtection="1">
      <alignment horizontal="left"/>
      <protection locked="0"/>
    </xf>
    <xf numFmtId="0" fontId="8" fillId="0" borderId="37" xfId="6" applyFont="1" applyBorder="1" applyAlignment="1" applyProtection="1">
      <alignment horizontal="left"/>
      <protection locked="0"/>
    </xf>
    <xf numFmtId="0" fontId="8" fillId="0" borderId="42" xfId="6" applyFont="1" applyBorder="1" applyAlignment="1" applyProtection="1">
      <alignment horizontal="left"/>
      <protection locked="0"/>
    </xf>
    <xf numFmtId="0" fontId="8" fillId="0" borderId="40" xfId="6" applyFont="1" applyBorder="1" applyAlignment="1" applyProtection="1">
      <alignment horizontal="left"/>
      <protection locked="0"/>
    </xf>
    <xf numFmtId="0" fontId="8" fillId="0" borderId="39" xfId="6" applyFont="1" applyBorder="1" applyAlignment="1" applyProtection="1">
      <alignment horizontal="left"/>
      <protection locked="0"/>
    </xf>
    <xf numFmtId="0" fontId="8" fillId="0" borderId="27" xfId="6" applyFont="1" applyBorder="1" applyAlignment="1" applyProtection="1">
      <alignment horizontal="left"/>
      <protection locked="0"/>
    </xf>
    <xf numFmtId="0" fontId="8" fillId="0" borderId="38" xfId="6" applyFont="1" applyBorder="1" applyAlignment="1" applyProtection="1">
      <alignment horizontal="left"/>
      <protection locked="0"/>
    </xf>
    <xf numFmtId="0" fontId="8" fillId="0" borderId="36" xfId="6" applyFont="1" applyBorder="1" applyAlignment="1" applyProtection="1">
      <alignment horizontal="left"/>
      <protection locked="0"/>
    </xf>
    <xf numFmtId="0" fontId="8" fillId="0" borderId="35" xfId="6" applyFont="1" applyBorder="1" applyAlignment="1" applyProtection="1">
      <alignment horizontal="left"/>
      <protection locked="0"/>
    </xf>
    <xf numFmtId="0" fontId="58" fillId="0" borderId="3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center"/>
    </xf>
    <xf numFmtId="0" fontId="0" fillId="0" borderId="3" xfId="0" applyBorder="1"/>
    <xf numFmtId="0" fontId="2" fillId="0" borderId="3" xfId="0" applyFont="1" applyBorder="1"/>
    <xf numFmtId="0" fontId="6" fillId="0" borderId="31" xfId="0" applyFont="1" applyBorder="1" applyAlignment="1">
      <alignment horizontal="left"/>
    </xf>
    <xf numFmtId="0" fontId="6" fillId="0" borderId="32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0" fillId="0" borderId="32" xfId="0" applyBorder="1"/>
    <xf numFmtId="0" fontId="3" fillId="0" borderId="32" xfId="0" applyFont="1" applyBorder="1" applyAlignment="1">
      <alignment horizontal="left"/>
    </xf>
    <xf numFmtId="49" fontId="3" fillId="0" borderId="5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53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5" xfId="0" applyFont="1" applyBorder="1" applyAlignment="1">
      <alignment horizontal="center"/>
    </xf>
  </cellXfs>
  <cellStyles count="10">
    <cellStyle name="Percent 2" xfId="2" xr:uid="{00000000-0005-0000-0000-000003000000}"/>
    <cellStyle name="Неутрален" xfId="7" builtinId="28"/>
    <cellStyle name="Нормален" xfId="0" builtinId="0"/>
    <cellStyle name="Нормален 2" xfId="4" xr:uid="{00000000-0005-0000-0000-000004000000}"/>
    <cellStyle name="Нормален 2 2" xfId="6" xr:uid="{00000000-0005-0000-0000-000005000000}"/>
    <cellStyle name="Нормален 3" xfId="5" xr:uid="{00000000-0005-0000-0000-000006000000}"/>
    <cellStyle name="Нормален 4" xfId="8" xr:uid="{D0B99C9F-351E-4FB1-9212-5419CEE62AC6}"/>
    <cellStyle name="Нормален 5" xfId="9" xr:uid="{616197D4-5835-4028-BE3F-F47F7005871A}"/>
    <cellStyle name="Нормален_Лист2" xfId="3" xr:uid="{00000000-0005-0000-0000-000007000000}"/>
    <cellStyle name="Процент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53;.%20&#1053;&#1077;&#1076;&#1077;&#1083;&#1095;&#1077;&#1074;\Documents\Godishni%20planove\2025_GodishniPlanove\&#1053;&#1072;&#1095;&#1072;&#1083;&#1077;&#1085;\&#1044;&#1086;&#1087;&#1098;&#1083;&#1085;&#1077;&#1085;&#1080;&#1077;\17_DLS_Rosica\OBSHTO_Rosica_Sevlievo%20&#1082;&#1098;&#1084;%2018.11.2024%20&#1075;.xlsx" TargetMode="External"/><Relationship Id="rId1" Type="http://schemas.openxmlformats.org/officeDocument/2006/relationships/externalLinkPath" Target="/Users/&#1053;.%20&#1053;&#1077;&#1076;&#1077;&#1083;&#1095;&#1077;&#1074;/Documents/Godishni%20planove/2025_GodishniPlanove/&#1053;&#1072;&#1095;&#1072;&#1083;&#1077;&#1085;/&#1044;&#1086;&#1087;&#1098;&#1083;&#1085;&#1077;&#1085;&#1080;&#1077;/17_DLS_Rosica/OBSHTO_Rosica_Sevlievo%20&#1082;&#1098;&#1084;%2018.11.2024%20&#1075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53;.%20&#1053;&#1077;&#1076;&#1077;&#1083;&#1095;&#1077;&#1074;\Documents\Godishni%20planove\2025_GodishniPlanove\&#1053;&#1072;&#1095;&#1072;&#1083;&#1077;&#1085;\&#1044;&#1086;&#1087;&#1098;&#1083;&#1085;&#1077;&#1085;&#1080;&#1077;\26_DGS_Silistra\&#1043;&#1055;%20&#1080;%20&#1086;&#1087;&#1080;&#1089;%20&#1050;&#1051;&#1057;&#1060;%20-2025%2015.11.24%20&#1074;%20&#1077;&#1076;&#1085;&#1086;%20&#1089;%20&#1085;&#1077;&#1086;&#1090;&#1076;&#1072;&#1076;&#1077;&#1085;&#1080;%202024.xlsx" TargetMode="External"/><Relationship Id="rId1" Type="http://schemas.openxmlformats.org/officeDocument/2006/relationships/externalLinkPath" Target="/Users/&#1053;.%20&#1053;&#1077;&#1076;&#1077;&#1083;&#1095;&#1077;&#1074;/Documents/Godishni%20planove/2025_GodishniPlanove/&#1053;&#1072;&#1095;&#1072;&#1083;&#1077;&#1085;/&#1044;&#1086;&#1087;&#1098;&#1083;&#1085;&#1077;&#1085;&#1080;&#1077;/26_DGS_Silistra/&#1043;&#1055;%20&#1080;%20&#1086;&#1087;&#1080;&#1089;%20&#1050;&#1051;&#1057;&#1060;%20-2025%2015.11.24%20&#1074;%20&#1077;&#1076;&#1085;&#1086;%20&#1089;%20&#1085;&#1077;&#1086;&#1090;&#1076;&#1072;&#1076;&#1077;&#1085;&#108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БЩО_Росица_Севлиево"/>
      <sheetName val="Rosica"/>
      <sheetName val="Sevlievo"/>
    </sheetNames>
    <sheetDataSet>
      <sheetData sheetId="0" refreshError="1"/>
      <sheetData sheetId="1">
        <row r="13">
          <cell r="K13">
            <v>46.7</v>
          </cell>
          <cell r="L13">
            <v>3817</v>
          </cell>
          <cell r="M13">
            <v>3289</v>
          </cell>
          <cell r="N13">
            <v>1037</v>
          </cell>
          <cell r="O13">
            <v>830</v>
          </cell>
          <cell r="P13">
            <v>81</v>
          </cell>
          <cell r="Q13">
            <v>1341</v>
          </cell>
          <cell r="S13">
            <v>44.8</v>
          </cell>
          <cell r="T13">
            <v>5981</v>
          </cell>
          <cell r="U13">
            <v>4206</v>
          </cell>
          <cell r="V13">
            <v>3133</v>
          </cell>
          <cell r="W13">
            <v>640</v>
          </cell>
          <cell r="X13">
            <v>36</v>
          </cell>
          <cell r="Y13">
            <v>397</v>
          </cell>
          <cell r="AB13">
            <v>44.8</v>
          </cell>
          <cell r="AC13">
            <v>5981</v>
          </cell>
          <cell r="AD13">
            <v>4206</v>
          </cell>
          <cell r="AE13">
            <v>3133</v>
          </cell>
          <cell r="AF13">
            <v>640</v>
          </cell>
          <cell r="AG13">
            <v>36</v>
          </cell>
          <cell r="AH13">
            <v>397</v>
          </cell>
          <cell r="AK13">
            <v>0.5</v>
          </cell>
          <cell r="AL13">
            <v>12</v>
          </cell>
          <cell r="AM13">
            <v>9</v>
          </cell>
          <cell r="AN13">
            <v>6</v>
          </cell>
          <cell r="AO13">
            <v>2</v>
          </cell>
          <cell r="AP13">
            <v>0</v>
          </cell>
          <cell r="AQ13">
            <v>1</v>
          </cell>
        </row>
        <row r="14">
          <cell r="K14">
            <v>51.2</v>
          </cell>
          <cell r="L14">
            <v>6582</v>
          </cell>
          <cell r="N14">
            <v>2589</v>
          </cell>
          <cell r="O14">
            <v>1061</v>
          </cell>
          <cell r="P14">
            <v>127</v>
          </cell>
          <cell r="Q14">
            <v>1708</v>
          </cell>
          <cell r="S14">
            <v>31.8</v>
          </cell>
          <cell r="T14">
            <v>3195</v>
          </cell>
          <cell r="U14">
            <v>2656</v>
          </cell>
          <cell r="V14">
            <v>2058</v>
          </cell>
          <cell r="W14">
            <v>210</v>
          </cell>
          <cell r="X14">
            <v>0</v>
          </cell>
          <cell r="Y14">
            <v>388</v>
          </cell>
          <cell r="AB14">
            <v>31.8</v>
          </cell>
          <cell r="AC14">
            <v>3195</v>
          </cell>
          <cell r="AD14">
            <v>2656</v>
          </cell>
          <cell r="AE14">
            <v>2058</v>
          </cell>
          <cell r="AF14">
            <v>210</v>
          </cell>
          <cell r="AG14">
            <v>0</v>
          </cell>
          <cell r="AH14">
            <v>388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6">
          <cell r="K16">
            <v>27.6</v>
          </cell>
          <cell r="L16">
            <v>3669</v>
          </cell>
          <cell r="M16">
            <v>3092</v>
          </cell>
          <cell r="N16">
            <v>1578</v>
          </cell>
          <cell r="O16">
            <v>736</v>
          </cell>
          <cell r="P16">
            <v>6</v>
          </cell>
          <cell r="Q16">
            <v>772</v>
          </cell>
          <cell r="S16">
            <v>4.0999999999999996</v>
          </cell>
          <cell r="T16">
            <v>1382</v>
          </cell>
          <cell r="U16">
            <v>1183</v>
          </cell>
          <cell r="V16">
            <v>898</v>
          </cell>
          <cell r="W16">
            <v>87</v>
          </cell>
          <cell r="X16">
            <v>0</v>
          </cell>
          <cell r="Y16">
            <v>198</v>
          </cell>
          <cell r="AB16">
            <v>4.0999999999999996</v>
          </cell>
          <cell r="AC16">
            <v>1382</v>
          </cell>
          <cell r="AD16">
            <v>1183</v>
          </cell>
          <cell r="AE16">
            <v>898</v>
          </cell>
          <cell r="AF16">
            <v>87</v>
          </cell>
          <cell r="AG16">
            <v>0</v>
          </cell>
          <cell r="AH16">
            <v>198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</row>
        <row r="17">
          <cell r="K17">
            <v>12.8</v>
          </cell>
          <cell r="L17">
            <v>2278</v>
          </cell>
          <cell r="M17">
            <v>1853</v>
          </cell>
          <cell r="N17">
            <v>813</v>
          </cell>
          <cell r="O17">
            <v>257</v>
          </cell>
          <cell r="P17">
            <v>117</v>
          </cell>
          <cell r="Q17">
            <v>666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</row>
        <row r="18"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</row>
        <row r="23">
          <cell r="K23">
            <v>212.7</v>
          </cell>
          <cell r="L23">
            <v>11704</v>
          </cell>
          <cell r="M23">
            <v>9715</v>
          </cell>
          <cell r="N23">
            <v>717</v>
          </cell>
          <cell r="O23">
            <v>1859</v>
          </cell>
          <cell r="P23">
            <v>305</v>
          </cell>
          <cell r="Q23">
            <v>6834</v>
          </cell>
          <cell r="S23">
            <v>203</v>
          </cell>
          <cell r="T23">
            <v>16174</v>
          </cell>
          <cell r="U23">
            <v>13595</v>
          </cell>
          <cell r="V23">
            <v>5884</v>
          </cell>
          <cell r="W23">
            <v>838</v>
          </cell>
          <cell r="X23">
            <v>156</v>
          </cell>
          <cell r="Y23">
            <v>6717</v>
          </cell>
          <cell r="AB23">
            <v>192</v>
          </cell>
          <cell r="AC23">
            <v>15997</v>
          </cell>
          <cell r="AD23">
            <v>13437</v>
          </cell>
          <cell r="AE23">
            <v>5877</v>
          </cell>
          <cell r="AF23">
            <v>806</v>
          </cell>
          <cell r="AG23">
            <v>156</v>
          </cell>
          <cell r="AH23">
            <v>6598</v>
          </cell>
          <cell r="AK23">
            <v>0.4</v>
          </cell>
          <cell r="AL23">
            <v>9</v>
          </cell>
          <cell r="AM23">
            <v>7</v>
          </cell>
          <cell r="AN23">
            <v>0</v>
          </cell>
          <cell r="AO23">
            <v>2</v>
          </cell>
          <cell r="AP23">
            <v>0</v>
          </cell>
          <cell r="AQ23">
            <v>5</v>
          </cell>
        </row>
        <row r="24">
          <cell r="K24">
            <v>100.9</v>
          </cell>
          <cell r="L24">
            <v>6770</v>
          </cell>
          <cell r="M24">
            <v>5952</v>
          </cell>
          <cell r="N24">
            <v>808</v>
          </cell>
          <cell r="O24">
            <v>416</v>
          </cell>
          <cell r="P24">
            <v>84</v>
          </cell>
          <cell r="Q24">
            <v>4644</v>
          </cell>
          <cell r="S24">
            <v>104.19999999999999</v>
          </cell>
          <cell r="T24">
            <v>10620</v>
          </cell>
          <cell r="U24">
            <v>9173</v>
          </cell>
          <cell r="V24">
            <v>3328</v>
          </cell>
          <cell r="W24">
            <v>407</v>
          </cell>
          <cell r="X24">
            <v>128</v>
          </cell>
          <cell r="Y24">
            <v>5310</v>
          </cell>
          <cell r="AB24">
            <v>104.19999999999999</v>
          </cell>
          <cell r="AC24">
            <v>10620</v>
          </cell>
          <cell r="AD24">
            <v>9173</v>
          </cell>
          <cell r="AE24">
            <v>3328</v>
          </cell>
          <cell r="AF24">
            <v>407</v>
          </cell>
          <cell r="AG24">
            <v>128</v>
          </cell>
          <cell r="AH24">
            <v>5310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</row>
        <row r="26">
          <cell r="K26">
            <v>10</v>
          </cell>
          <cell r="L26">
            <v>194</v>
          </cell>
          <cell r="M26">
            <v>167</v>
          </cell>
          <cell r="N26">
            <v>7</v>
          </cell>
          <cell r="O26">
            <v>48</v>
          </cell>
          <cell r="P26">
            <v>6</v>
          </cell>
          <cell r="Q26">
            <v>106</v>
          </cell>
          <cell r="S26">
            <v>2.1</v>
          </cell>
          <cell r="T26">
            <v>66</v>
          </cell>
          <cell r="U26">
            <v>55</v>
          </cell>
          <cell r="V26">
            <v>3</v>
          </cell>
          <cell r="W26">
            <v>13</v>
          </cell>
          <cell r="X26">
            <v>1</v>
          </cell>
          <cell r="Y26">
            <v>38</v>
          </cell>
          <cell r="AB26">
            <v>0.3</v>
          </cell>
          <cell r="AC26">
            <v>8</v>
          </cell>
          <cell r="AD26">
            <v>7</v>
          </cell>
          <cell r="AE26">
            <v>1</v>
          </cell>
          <cell r="AF26">
            <v>1</v>
          </cell>
          <cell r="AG26">
            <v>0</v>
          </cell>
          <cell r="AH26">
            <v>5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</row>
        <row r="27"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</row>
        <row r="29">
          <cell r="K29">
            <v>2.9</v>
          </cell>
          <cell r="L29">
            <v>40</v>
          </cell>
          <cell r="M29">
            <v>35</v>
          </cell>
          <cell r="N29">
            <v>0</v>
          </cell>
          <cell r="O29">
            <v>7</v>
          </cell>
          <cell r="P29">
            <v>0</v>
          </cell>
          <cell r="Q29">
            <v>28</v>
          </cell>
          <cell r="S29">
            <v>2.8</v>
          </cell>
          <cell r="T29">
            <v>84</v>
          </cell>
          <cell r="U29">
            <v>71</v>
          </cell>
          <cell r="V29">
            <v>0</v>
          </cell>
          <cell r="W29">
            <v>17</v>
          </cell>
          <cell r="X29">
            <v>0</v>
          </cell>
          <cell r="Y29">
            <v>54</v>
          </cell>
          <cell r="AB29">
            <v>0.1</v>
          </cell>
          <cell r="AC29">
            <v>6</v>
          </cell>
          <cell r="AD29">
            <v>5</v>
          </cell>
          <cell r="AE29">
            <v>0</v>
          </cell>
          <cell r="AF29">
            <v>1</v>
          </cell>
          <cell r="AG29">
            <v>0</v>
          </cell>
          <cell r="AH29">
            <v>4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</row>
        <row r="30"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</row>
        <row r="32"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</row>
        <row r="33"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</row>
        <row r="35">
          <cell r="K35">
            <v>1.4</v>
          </cell>
          <cell r="L35">
            <v>150</v>
          </cell>
          <cell r="M35">
            <v>130</v>
          </cell>
          <cell r="N35">
            <v>0</v>
          </cell>
          <cell r="O35">
            <v>33</v>
          </cell>
          <cell r="P35">
            <v>24</v>
          </cell>
          <cell r="Q35">
            <v>73</v>
          </cell>
          <cell r="S35">
            <v>13.9</v>
          </cell>
          <cell r="T35">
            <v>1498</v>
          </cell>
          <cell r="U35">
            <v>1305</v>
          </cell>
          <cell r="V35">
            <v>0</v>
          </cell>
          <cell r="W35">
            <v>345</v>
          </cell>
          <cell r="X35">
            <v>239</v>
          </cell>
          <cell r="Y35">
            <v>721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</row>
        <row r="36"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38">
          <cell r="K38">
            <v>43</v>
          </cell>
          <cell r="L38">
            <v>1799</v>
          </cell>
          <cell r="M38">
            <v>1515</v>
          </cell>
          <cell r="N38">
            <v>11</v>
          </cell>
          <cell r="O38">
            <v>414</v>
          </cell>
          <cell r="P38">
            <v>75</v>
          </cell>
          <cell r="Q38">
            <v>1015</v>
          </cell>
          <cell r="S38">
            <v>4.5</v>
          </cell>
          <cell r="T38">
            <v>181</v>
          </cell>
          <cell r="U38">
            <v>148</v>
          </cell>
          <cell r="V38">
            <v>5</v>
          </cell>
          <cell r="W38">
            <v>51</v>
          </cell>
          <cell r="X38">
            <v>1</v>
          </cell>
          <cell r="Y38">
            <v>91</v>
          </cell>
          <cell r="AB38">
            <v>1.3</v>
          </cell>
          <cell r="AC38">
            <v>118</v>
          </cell>
          <cell r="AD38">
            <v>84</v>
          </cell>
          <cell r="AE38">
            <v>5</v>
          </cell>
          <cell r="AF38">
            <v>37</v>
          </cell>
          <cell r="AG38">
            <v>1</v>
          </cell>
          <cell r="AH38">
            <v>41</v>
          </cell>
          <cell r="AK38">
            <v>0.3</v>
          </cell>
          <cell r="AL38">
            <v>1</v>
          </cell>
          <cell r="AM38">
            <v>1</v>
          </cell>
          <cell r="AN38">
            <v>0</v>
          </cell>
          <cell r="AO38">
            <v>0</v>
          </cell>
          <cell r="AP38">
            <v>0</v>
          </cell>
          <cell r="AQ38">
            <v>1</v>
          </cell>
        </row>
        <row r="39"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</row>
      </sheetData>
      <sheetData sheetId="2">
        <row r="13">
          <cell r="K13">
            <v>45.2</v>
          </cell>
          <cell r="L13">
            <v>2822</v>
          </cell>
          <cell r="M13">
            <v>2034</v>
          </cell>
          <cell r="N13">
            <v>186</v>
          </cell>
          <cell r="O13">
            <v>1270</v>
          </cell>
          <cell r="P13">
            <v>174</v>
          </cell>
          <cell r="Q13">
            <v>404</v>
          </cell>
          <cell r="S13">
            <v>23.4</v>
          </cell>
          <cell r="T13">
            <v>2082</v>
          </cell>
          <cell r="U13">
            <v>1610</v>
          </cell>
          <cell r="V13">
            <v>508</v>
          </cell>
          <cell r="W13">
            <v>693</v>
          </cell>
          <cell r="X13">
            <v>50</v>
          </cell>
          <cell r="Y13">
            <v>359</v>
          </cell>
          <cell r="AB13">
            <v>23.4</v>
          </cell>
          <cell r="AC13">
            <v>2082</v>
          </cell>
          <cell r="AD13">
            <v>1610</v>
          </cell>
          <cell r="AE13">
            <v>508</v>
          </cell>
          <cell r="AF13">
            <v>693</v>
          </cell>
          <cell r="AG13">
            <v>50</v>
          </cell>
          <cell r="AH13">
            <v>359</v>
          </cell>
          <cell r="AK13">
            <v>19.600000000000001</v>
          </cell>
          <cell r="AL13">
            <v>1561</v>
          </cell>
          <cell r="AM13">
            <v>1093</v>
          </cell>
          <cell r="AN13">
            <v>62</v>
          </cell>
          <cell r="AO13">
            <v>387</v>
          </cell>
          <cell r="AP13">
            <v>42</v>
          </cell>
          <cell r="AQ13">
            <v>602</v>
          </cell>
        </row>
        <row r="14">
          <cell r="K14">
            <v>12.3</v>
          </cell>
          <cell r="L14">
            <v>1383</v>
          </cell>
          <cell r="N14">
            <v>334</v>
          </cell>
          <cell r="O14">
            <v>203</v>
          </cell>
          <cell r="P14">
            <v>2</v>
          </cell>
          <cell r="Q14">
            <v>549</v>
          </cell>
          <cell r="S14">
            <v>4.7</v>
          </cell>
          <cell r="T14">
            <v>454</v>
          </cell>
          <cell r="U14">
            <v>408</v>
          </cell>
          <cell r="V14">
            <v>194</v>
          </cell>
          <cell r="W14">
            <v>59</v>
          </cell>
          <cell r="X14">
            <v>0</v>
          </cell>
          <cell r="Y14">
            <v>155</v>
          </cell>
          <cell r="AB14">
            <v>4.7</v>
          </cell>
          <cell r="AC14">
            <v>454</v>
          </cell>
          <cell r="AD14">
            <v>408</v>
          </cell>
          <cell r="AE14">
            <v>194</v>
          </cell>
          <cell r="AF14">
            <v>59</v>
          </cell>
          <cell r="AG14">
            <v>0</v>
          </cell>
          <cell r="AH14">
            <v>155</v>
          </cell>
          <cell r="AK14">
            <v>1.6</v>
          </cell>
          <cell r="AL14">
            <v>117</v>
          </cell>
          <cell r="AM14">
            <v>102</v>
          </cell>
          <cell r="AN14">
            <v>12</v>
          </cell>
          <cell r="AO14">
            <v>0</v>
          </cell>
          <cell r="AP14">
            <v>0</v>
          </cell>
          <cell r="AQ14">
            <v>90</v>
          </cell>
        </row>
        <row r="16">
          <cell r="K16">
            <v>12.3</v>
          </cell>
          <cell r="L16">
            <v>800</v>
          </cell>
          <cell r="M16">
            <v>649</v>
          </cell>
          <cell r="N16">
            <v>243</v>
          </cell>
          <cell r="O16">
            <v>132</v>
          </cell>
          <cell r="P16">
            <v>0</v>
          </cell>
          <cell r="Q16">
            <v>274</v>
          </cell>
          <cell r="S16">
            <v>2.8</v>
          </cell>
          <cell r="T16">
            <v>281</v>
          </cell>
          <cell r="U16">
            <v>266</v>
          </cell>
          <cell r="V16">
            <v>138</v>
          </cell>
          <cell r="W16">
            <v>36</v>
          </cell>
          <cell r="X16">
            <v>0</v>
          </cell>
          <cell r="Y16">
            <v>92</v>
          </cell>
          <cell r="AB16">
            <v>2.8</v>
          </cell>
          <cell r="AC16">
            <v>281</v>
          </cell>
          <cell r="AD16">
            <v>266</v>
          </cell>
          <cell r="AE16">
            <v>138</v>
          </cell>
          <cell r="AF16">
            <v>36</v>
          </cell>
          <cell r="AG16">
            <v>0</v>
          </cell>
          <cell r="AH16">
            <v>92</v>
          </cell>
          <cell r="AK16">
            <v>0.8</v>
          </cell>
          <cell r="AL16">
            <v>66</v>
          </cell>
          <cell r="AM16">
            <v>59</v>
          </cell>
          <cell r="AN16">
            <v>6</v>
          </cell>
          <cell r="AO16">
            <v>0</v>
          </cell>
          <cell r="AP16">
            <v>0</v>
          </cell>
          <cell r="AQ16">
            <v>53</v>
          </cell>
        </row>
        <row r="17">
          <cell r="K17">
            <v>0</v>
          </cell>
          <cell r="L17">
            <v>139</v>
          </cell>
          <cell r="M17">
            <v>111</v>
          </cell>
          <cell r="N17">
            <v>26</v>
          </cell>
          <cell r="O17">
            <v>23</v>
          </cell>
          <cell r="P17">
            <v>1</v>
          </cell>
          <cell r="Q17">
            <v>61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K17">
            <v>0</v>
          </cell>
          <cell r="AL17">
            <v>36</v>
          </cell>
          <cell r="AM17">
            <v>31</v>
          </cell>
          <cell r="AN17">
            <v>0</v>
          </cell>
          <cell r="AO17">
            <v>0</v>
          </cell>
          <cell r="AP17">
            <v>0</v>
          </cell>
          <cell r="AQ17">
            <v>31</v>
          </cell>
        </row>
        <row r="18"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K18">
            <v>0</v>
          </cell>
          <cell r="AL18">
            <v>7</v>
          </cell>
          <cell r="AM18">
            <v>6</v>
          </cell>
          <cell r="AN18">
            <v>6</v>
          </cell>
          <cell r="AO18">
            <v>0</v>
          </cell>
          <cell r="AP18">
            <v>0</v>
          </cell>
          <cell r="AQ18">
            <v>0</v>
          </cell>
        </row>
        <row r="23">
          <cell r="K23">
            <v>54</v>
          </cell>
          <cell r="L23">
            <v>2530</v>
          </cell>
          <cell r="M23">
            <v>2089</v>
          </cell>
          <cell r="N23">
            <v>77</v>
          </cell>
          <cell r="O23">
            <v>366</v>
          </cell>
          <cell r="P23">
            <v>69</v>
          </cell>
          <cell r="Q23">
            <v>1577</v>
          </cell>
          <cell r="S23">
            <v>19.3</v>
          </cell>
          <cell r="T23">
            <v>1261</v>
          </cell>
          <cell r="U23">
            <v>1078</v>
          </cell>
          <cell r="V23">
            <v>244</v>
          </cell>
          <cell r="W23">
            <v>86</v>
          </cell>
          <cell r="X23">
            <v>14</v>
          </cell>
          <cell r="Y23">
            <v>734</v>
          </cell>
          <cell r="AB23">
            <v>14.9</v>
          </cell>
          <cell r="AC23">
            <v>1061</v>
          </cell>
          <cell r="AD23">
            <v>913</v>
          </cell>
          <cell r="AE23">
            <v>235</v>
          </cell>
          <cell r="AF23">
            <v>42</v>
          </cell>
          <cell r="AG23">
            <v>10</v>
          </cell>
          <cell r="AH23">
            <v>626</v>
          </cell>
          <cell r="AK23">
            <v>1</v>
          </cell>
          <cell r="AL23">
            <v>4</v>
          </cell>
          <cell r="AM23">
            <v>3</v>
          </cell>
          <cell r="AN23">
            <v>0</v>
          </cell>
          <cell r="AO23">
            <v>0</v>
          </cell>
          <cell r="AP23">
            <v>0</v>
          </cell>
          <cell r="AQ23">
            <v>3</v>
          </cell>
        </row>
        <row r="24">
          <cell r="K24">
            <v>70.3</v>
          </cell>
          <cell r="L24">
            <v>2751</v>
          </cell>
          <cell r="M24">
            <v>2301</v>
          </cell>
          <cell r="N24">
            <v>18</v>
          </cell>
          <cell r="O24">
            <v>1</v>
          </cell>
          <cell r="P24">
            <v>0</v>
          </cell>
          <cell r="Q24">
            <v>2282</v>
          </cell>
          <cell r="S24">
            <v>20</v>
          </cell>
          <cell r="T24">
            <v>963</v>
          </cell>
          <cell r="U24">
            <v>885</v>
          </cell>
          <cell r="V24">
            <v>170</v>
          </cell>
          <cell r="W24">
            <v>12</v>
          </cell>
          <cell r="X24">
            <v>32</v>
          </cell>
          <cell r="Y24">
            <v>671</v>
          </cell>
          <cell r="AB24">
            <v>8.8000000000000007</v>
          </cell>
          <cell r="AC24">
            <v>569</v>
          </cell>
          <cell r="AD24">
            <v>539</v>
          </cell>
          <cell r="AE24">
            <v>110</v>
          </cell>
          <cell r="AF24">
            <v>1</v>
          </cell>
          <cell r="AG24">
            <v>22</v>
          </cell>
          <cell r="AH24">
            <v>406</v>
          </cell>
          <cell r="AK24">
            <v>0.47199999999999998</v>
          </cell>
          <cell r="AL24">
            <v>201</v>
          </cell>
          <cell r="AM24">
            <v>188</v>
          </cell>
          <cell r="AN24">
            <v>0</v>
          </cell>
          <cell r="AO24">
            <v>0</v>
          </cell>
          <cell r="AP24">
            <v>2</v>
          </cell>
          <cell r="AQ24">
            <v>186</v>
          </cell>
        </row>
        <row r="26">
          <cell r="K26">
            <v>23.3</v>
          </cell>
          <cell r="L26">
            <v>479</v>
          </cell>
          <cell r="M26">
            <v>430</v>
          </cell>
          <cell r="N26">
            <v>0</v>
          </cell>
          <cell r="O26">
            <v>93</v>
          </cell>
          <cell r="P26">
            <v>18</v>
          </cell>
          <cell r="Q26">
            <v>319</v>
          </cell>
          <cell r="S26">
            <v>41</v>
          </cell>
          <cell r="T26">
            <v>1239</v>
          </cell>
          <cell r="U26">
            <v>1125</v>
          </cell>
          <cell r="V26">
            <v>4</v>
          </cell>
          <cell r="W26">
            <v>249</v>
          </cell>
          <cell r="X26">
            <v>32</v>
          </cell>
          <cell r="Y26">
            <v>840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K26">
            <v>0.6</v>
          </cell>
          <cell r="AL26">
            <v>15</v>
          </cell>
          <cell r="AM26">
            <v>12</v>
          </cell>
          <cell r="AN26">
            <v>0</v>
          </cell>
          <cell r="AO26">
            <v>2</v>
          </cell>
          <cell r="AP26">
            <v>0</v>
          </cell>
          <cell r="AQ26">
            <v>10</v>
          </cell>
        </row>
        <row r="27">
          <cell r="K27">
            <v>4.2</v>
          </cell>
          <cell r="L27">
            <v>543</v>
          </cell>
          <cell r="M27">
            <v>466</v>
          </cell>
          <cell r="N27">
            <v>0</v>
          </cell>
          <cell r="O27">
            <v>1</v>
          </cell>
          <cell r="P27">
            <v>0</v>
          </cell>
          <cell r="Q27">
            <v>465</v>
          </cell>
          <cell r="S27">
            <v>17.399999999999999</v>
          </cell>
          <cell r="T27">
            <v>968</v>
          </cell>
          <cell r="U27">
            <v>874</v>
          </cell>
          <cell r="V27">
            <v>9</v>
          </cell>
          <cell r="W27">
            <v>21</v>
          </cell>
          <cell r="X27">
            <v>0</v>
          </cell>
          <cell r="Y27">
            <v>844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</row>
        <row r="29">
          <cell r="K29">
            <v>56.9</v>
          </cell>
          <cell r="L29">
            <v>1132</v>
          </cell>
          <cell r="M29">
            <v>981</v>
          </cell>
          <cell r="N29">
            <v>8</v>
          </cell>
          <cell r="O29">
            <v>174</v>
          </cell>
          <cell r="P29">
            <v>42</v>
          </cell>
          <cell r="Q29">
            <v>757</v>
          </cell>
          <cell r="S29">
            <v>115</v>
          </cell>
          <cell r="T29">
            <v>3736</v>
          </cell>
          <cell r="U29">
            <v>3278</v>
          </cell>
          <cell r="V29">
            <v>228</v>
          </cell>
          <cell r="W29">
            <v>540</v>
          </cell>
          <cell r="X29">
            <v>20</v>
          </cell>
          <cell r="Y29">
            <v>2490</v>
          </cell>
          <cell r="AB29">
            <v>1</v>
          </cell>
          <cell r="AC29">
            <v>32</v>
          </cell>
          <cell r="AD29">
            <v>24</v>
          </cell>
          <cell r="AE29">
            <v>2</v>
          </cell>
          <cell r="AF29">
            <v>0</v>
          </cell>
          <cell r="AG29">
            <v>0</v>
          </cell>
          <cell r="AH29">
            <v>22</v>
          </cell>
          <cell r="AK29">
            <v>3.3</v>
          </cell>
          <cell r="AL29">
            <v>77</v>
          </cell>
          <cell r="AM29">
            <v>64</v>
          </cell>
          <cell r="AN29">
            <v>0</v>
          </cell>
          <cell r="AO29">
            <v>4</v>
          </cell>
          <cell r="AP29">
            <v>0</v>
          </cell>
          <cell r="AQ29">
            <v>60</v>
          </cell>
        </row>
        <row r="30">
          <cell r="K30">
            <v>60</v>
          </cell>
          <cell r="L30">
            <v>1713</v>
          </cell>
          <cell r="M30">
            <v>1505</v>
          </cell>
          <cell r="N30">
            <v>0</v>
          </cell>
          <cell r="O30">
            <v>101</v>
          </cell>
          <cell r="P30">
            <v>3</v>
          </cell>
          <cell r="Q30">
            <v>1401</v>
          </cell>
          <cell r="S30">
            <v>177.39999999999998</v>
          </cell>
          <cell r="T30">
            <v>7005</v>
          </cell>
          <cell r="U30">
            <v>6116</v>
          </cell>
          <cell r="V30">
            <v>0</v>
          </cell>
          <cell r="W30">
            <v>63</v>
          </cell>
          <cell r="X30">
            <v>0</v>
          </cell>
          <cell r="Y30">
            <v>6053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</row>
        <row r="32"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3.3</v>
          </cell>
          <cell r="T32">
            <v>461</v>
          </cell>
          <cell r="U32">
            <v>397</v>
          </cell>
          <cell r="V32">
            <v>215</v>
          </cell>
          <cell r="W32">
            <v>29</v>
          </cell>
          <cell r="X32">
            <v>9</v>
          </cell>
          <cell r="Y32">
            <v>144</v>
          </cell>
          <cell r="AB32">
            <v>3.2</v>
          </cell>
          <cell r="AC32">
            <v>458</v>
          </cell>
          <cell r="AD32">
            <v>394</v>
          </cell>
          <cell r="AE32">
            <v>214</v>
          </cell>
          <cell r="AF32">
            <v>29</v>
          </cell>
          <cell r="AG32">
            <v>9</v>
          </cell>
          <cell r="AH32">
            <v>142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</row>
        <row r="33"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2</v>
          </cell>
          <cell r="T33">
            <v>162</v>
          </cell>
          <cell r="U33">
            <v>149</v>
          </cell>
          <cell r="V33">
            <v>103</v>
          </cell>
          <cell r="W33">
            <v>12</v>
          </cell>
          <cell r="X33">
            <v>3</v>
          </cell>
          <cell r="Y33">
            <v>31</v>
          </cell>
          <cell r="AB33">
            <v>2</v>
          </cell>
          <cell r="AC33">
            <v>162</v>
          </cell>
          <cell r="AD33">
            <v>149</v>
          </cell>
          <cell r="AE33">
            <v>103</v>
          </cell>
          <cell r="AF33">
            <v>12</v>
          </cell>
          <cell r="AG33">
            <v>3</v>
          </cell>
          <cell r="AH33">
            <v>31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</row>
        <row r="35">
          <cell r="K35">
            <v>2.8</v>
          </cell>
          <cell r="L35">
            <v>158</v>
          </cell>
          <cell r="M35">
            <v>128</v>
          </cell>
          <cell r="N35">
            <v>0</v>
          </cell>
          <cell r="O35">
            <v>14</v>
          </cell>
          <cell r="P35">
            <v>14</v>
          </cell>
          <cell r="Q35">
            <v>100</v>
          </cell>
          <cell r="S35">
            <v>84.8</v>
          </cell>
          <cell r="T35">
            <v>5334</v>
          </cell>
          <cell r="U35">
            <v>4905</v>
          </cell>
          <cell r="V35">
            <v>58</v>
          </cell>
          <cell r="W35">
            <v>1078</v>
          </cell>
          <cell r="X35">
            <v>209</v>
          </cell>
          <cell r="Y35">
            <v>3560</v>
          </cell>
          <cell r="AB35">
            <v>0.4</v>
          </cell>
          <cell r="AC35">
            <v>6</v>
          </cell>
          <cell r="AD35">
            <v>7</v>
          </cell>
          <cell r="AE35">
            <v>0</v>
          </cell>
          <cell r="AF35">
            <v>2</v>
          </cell>
          <cell r="AG35">
            <v>0</v>
          </cell>
          <cell r="AH35">
            <v>5</v>
          </cell>
          <cell r="AK35">
            <v>0.3</v>
          </cell>
          <cell r="AL35">
            <v>8</v>
          </cell>
          <cell r="AM35">
            <v>6</v>
          </cell>
          <cell r="AN35">
            <v>0</v>
          </cell>
          <cell r="AO35">
            <v>0</v>
          </cell>
          <cell r="AP35">
            <v>0</v>
          </cell>
          <cell r="AQ35">
            <v>6</v>
          </cell>
        </row>
        <row r="36">
          <cell r="K36">
            <v>0</v>
          </cell>
          <cell r="L36">
            <v>3</v>
          </cell>
          <cell r="M36">
            <v>3</v>
          </cell>
          <cell r="N36">
            <v>0</v>
          </cell>
          <cell r="O36">
            <v>0</v>
          </cell>
          <cell r="P36">
            <v>0</v>
          </cell>
          <cell r="Q36">
            <v>3</v>
          </cell>
          <cell r="S36">
            <v>40.799999999999997</v>
          </cell>
          <cell r="T36">
            <v>2733</v>
          </cell>
          <cell r="U36">
            <v>2365</v>
          </cell>
          <cell r="V36">
            <v>0</v>
          </cell>
          <cell r="W36">
            <v>205</v>
          </cell>
          <cell r="X36">
            <v>46</v>
          </cell>
          <cell r="Y36">
            <v>2114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38">
          <cell r="K38">
            <v>39.700000000000003</v>
          </cell>
          <cell r="L38">
            <v>1445</v>
          </cell>
          <cell r="M38">
            <v>1182</v>
          </cell>
          <cell r="N38">
            <v>65</v>
          </cell>
          <cell r="O38">
            <v>304</v>
          </cell>
          <cell r="P38">
            <v>57</v>
          </cell>
          <cell r="Q38">
            <v>756</v>
          </cell>
          <cell r="S38">
            <v>35.4</v>
          </cell>
          <cell r="T38">
            <v>1027</v>
          </cell>
          <cell r="U38">
            <v>780</v>
          </cell>
          <cell r="V38">
            <v>35</v>
          </cell>
          <cell r="W38">
            <v>114</v>
          </cell>
          <cell r="X38">
            <v>26</v>
          </cell>
          <cell r="Y38">
            <v>605</v>
          </cell>
          <cell r="AB38">
            <v>2.2999999999999998</v>
          </cell>
          <cell r="AC38">
            <v>210</v>
          </cell>
          <cell r="AD38">
            <v>171</v>
          </cell>
          <cell r="AE38">
            <v>16</v>
          </cell>
          <cell r="AF38">
            <v>12</v>
          </cell>
          <cell r="AG38">
            <v>5</v>
          </cell>
          <cell r="AH38">
            <v>138</v>
          </cell>
          <cell r="AK38">
            <v>1.3</v>
          </cell>
          <cell r="AL38">
            <v>11</v>
          </cell>
          <cell r="AM38">
            <v>10</v>
          </cell>
          <cell r="AN38">
            <v>0</v>
          </cell>
          <cell r="AO38">
            <v>0</v>
          </cell>
          <cell r="AP38">
            <v>2</v>
          </cell>
          <cell r="AQ38">
            <v>8</v>
          </cell>
        </row>
        <row r="39">
          <cell r="K39">
            <v>41.6</v>
          </cell>
          <cell r="L39">
            <v>1585</v>
          </cell>
          <cell r="M39">
            <v>1329</v>
          </cell>
          <cell r="N39">
            <v>18</v>
          </cell>
          <cell r="O39">
            <v>28</v>
          </cell>
          <cell r="P39">
            <v>3</v>
          </cell>
          <cell r="Q39">
            <v>1280</v>
          </cell>
          <cell r="S39">
            <v>0</v>
          </cell>
          <cell r="T39">
            <v>598</v>
          </cell>
          <cell r="U39">
            <v>526</v>
          </cell>
          <cell r="V39">
            <v>5</v>
          </cell>
          <cell r="W39">
            <v>1</v>
          </cell>
          <cell r="X39">
            <v>0</v>
          </cell>
          <cell r="Y39">
            <v>520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K39">
            <v>0</v>
          </cell>
          <cell r="AL39">
            <v>9</v>
          </cell>
          <cell r="AM39">
            <v>9</v>
          </cell>
          <cell r="AN39">
            <v>4</v>
          </cell>
          <cell r="AO39">
            <v>0</v>
          </cell>
          <cell r="AP39">
            <v>0</v>
          </cell>
          <cell r="AQ39">
            <v>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ГП-25 г  15.11.24 г"/>
      <sheetName val="ГП-преходни 24 не отдадени "/>
      <sheetName val="ОПИС Преходни не отдедени"/>
      <sheetName val="ГП-2025 15.10.2024"/>
      <sheetName val="Опис КЛСФ-2025 15.10.2024"/>
      <sheetName val="отгледни"/>
      <sheetName val="възобновителни"/>
      <sheetName val="Р-Р 2"/>
    </sheetNames>
    <sheetDataSet>
      <sheetData sheetId="0"/>
      <sheetData sheetId="1">
        <row r="14">
          <cell r="K14">
            <v>0.5</v>
          </cell>
          <cell r="L14">
            <v>12</v>
          </cell>
          <cell r="Q14">
            <v>10</v>
          </cell>
        </row>
        <row r="27">
          <cell r="K27">
            <v>5.4</v>
          </cell>
          <cell r="L27">
            <v>181</v>
          </cell>
          <cell r="N27">
            <v>55</v>
          </cell>
          <cell r="O27">
            <v>37</v>
          </cell>
          <cell r="Q27">
            <v>78</v>
          </cell>
          <cell r="S27">
            <v>1.6</v>
          </cell>
          <cell r="T27">
            <v>70</v>
          </cell>
          <cell r="V27">
            <v>8</v>
          </cell>
          <cell r="W27">
            <v>13</v>
          </cell>
          <cell r="Y27">
            <v>48</v>
          </cell>
        </row>
        <row r="30">
          <cell r="K30">
            <v>0.2</v>
          </cell>
          <cell r="L30">
            <v>10</v>
          </cell>
          <cell r="Q30">
            <v>10</v>
          </cell>
          <cell r="S30">
            <v>10.1</v>
          </cell>
          <cell r="T30">
            <v>310</v>
          </cell>
          <cell r="V30">
            <v>68</v>
          </cell>
          <cell r="W30">
            <v>45</v>
          </cell>
          <cell r="Y30">
            <v>196</v>
          </cell>
          <cell r="AK30">
            <v>1.7</v>
          </cell>
          <cell r="AL30">
            <v>9</v>
          </cell>
          <cell r="AQ30">
            <v>9</v>
          </cell>
        </row>
        <row r="33">
          <cell r="S33">
            <v>1.1000000000000001</v>
          </cell>
          <cell r="T33">
            <v>7</v>
          </cell>
          <cell r="Y33">
            <v>7</v>
          </cell>
        </row>
        <row r="36">
          <cell r="S36">
            <v>35.9</v>
          </cell>
          <cell r="T36">
            <v>2246</v>
          </cell>
          <cell r="V36">
            <v>53</v>
          </cell>
          <cell r="W36">
            <v>759</v>
          </cell>
          <cell r="X36">
            <v>249</v>
          </cell>
          <cell r="Y36">
            <v>1141</v>
          </cell>
        </row>
        <row r="39">
          <cell r="K39">
            <v>6.3</v>
          </cell>
          <cell r="L39">
            <v>200</v>
          </cell>
          <cell r="N39">
            <v>33</v>
          </cell>
          <cell r="O39">
            <v>13</v>
          </cell>
          <cell r="Q39">
            <v>152</v>
          </cell>
          <cell r="S39">
            <v>5.2</v>
          </cell>
          <cell r="T39">
            <v>170</v>
          </cell>
          <cell r="V39">
            <v>10</v>
          </cell>
          <cell r="W39">
            <v>16</v>
          </cell>
          <cell r="X39">
            <v>1</v>
          </cell>
          <cell r="Y39">
            <v>143</v>
          </cell>
          <cell r="AK39">
            <v>23.7</v>
          </cell>
          <cell r="AL39">
            <v>336</v>
          </cell>
          <cell r="AN39">
            <v>2</v>
          </cell>
          <cell r="AO39">
            <v>10</v>
          </cell>
          <cell r="AQ39">
            <v>317</v>
          </cell>
        </row>
      </sheetData>
      <sheetData sheetId="2"/>
      <sheetData sheetId="3">
        <row r="14">
          <cell r="K14">
            <v>14.25</v>
          </cell>
          <cell r="L14">
            <v>334</v>
          </cell>
          <cell r="N14">
            <v>48</v>
          </cell>
          <cell r="O14">
            <v>42</v>
          </cell>
          <cell r="P14">
            <v>2</v>
          </cell>
          <cell r="Q14">
            <v>220</v>
          </cell>
          <cell r="S14">
            <v>1.8</v>
          </cell>
          <cell r="T14">
            <v>66</v>
          </cell>
          <cell r="V14">
            <v>17</v>
          </cell>
          <cell r="W14">
            <v>9</v>
          </cell>
          <cell r="X14">
            <v>0</v>
          </cell>
          <cell r="Y14">
            <v>33</v>
          </cell>
          <cell r="AB14">
            <v>1.8</v>
          </cell>
          <cell r="AC14">
            <v>66</v>
          </cell>
          <cell r="AE14">
            <v>17</v>
          </cell>
          <cell r="AF14">
            <v>9</v>
          </cell>
          <cell r="AG14">
            <v>0</v>
          </cell>
          <cell r="AH14">
            <v>33</v>
          </cell>
        </row>
        <row r="27">
          <cell r="K27">
            <v>23.7</v>
          </cell>
          <cell r="L27">
            <v>1350</v>
          </cell>
          <cell r="N27">
            <v>407</v>
          </cell>
          <cell r="O27">
            <v>161</v>
          </cell>
          <cell r="P27">
            <v>19</v>
          </cell>
          <cell r="Q27">
            <v>735</v>
          </cell>
          <cell r="S27">
            <v>32.299999999999997</v>
          </cell>
          <cell r="T27">
            <v>1149</v>
          </cell>
          <cell r="V27">
            <v>143</v>
          </cell>
          <cell r="W27">
            <v>269</v>
          </cell>
          <cell r="X27">
            <v>20</v>
          </cell>
          <cell r="Y27">
            <v>621</v>
          </cell>
          <cell r="AB27">
            <v>0.6</v>
          </cell>
          <cell r="AC27">
            <v>19</v>
          </cell>
          <cell r="AE27">
            <v>3</v>
          </cell>
          <cell r="AF27">
            <v>3</v>
          </cell>
          <cell r="AG27">
            <v>0</v>
          </cell>
          <cell r="AH27">
            <v>13</v>
          </cell>
        </row>
        <row r="30">
          <cell r="K30">
            <v>35.4</v>
          </cell>
          <cell r="L30">
            <v>819</v>
          </cell>
          <cell r="N30">
            <v>45</v>
          </cell>
          <cell r="O30">
            <v>166</v>
          </cell>
          <cell r="P30">
            <v>92</v>
          </cell>
          <cell r="Q30">
            <v>421</v>
          </cell>
          <cell r="S30">
            <v>129.88</v>
          </cell>
          <cell r="T30">
            <v>4522</v>
          </cell>
          <cell r="V30">
            <v>660</v>
          </cell>
          <cell r="W30">
            <v>900</v>
          </cell>
          <cell r="X30">
            <v>135</v>
          </cell>
          <cell r="Y30">
            <v>2328</v>
          </cell>
          <cell r="AB30">
            <v>19.600000000000001</v>
          </cell>
          <cell r="AC30">
            <v>956</v>
          </cell>
          <cell r="AE30">
            <v>228</v>
          </cell>
          <cell r="AF30">
            <v>139</v>
          </cell>
          <cell r="AG30">
            <v>10</v>
          </cell>
          <cell r="AH30">
            <v>495</v>
          </cell>
        </row>
        <row r="33">
          <cell r="S33">
            <v>12</v>
          </cell>
          <cell r="T33">
            <v>2951</v>
          </cell>
          <cell r="V33">
            <v>1975</v>
          </cell>
          <cell r="W33">
            <v>513</v>
          </cell>
          <cell r="X33">
            <v>45</v>
          </cell>
          <cell r="Y33">
            <v>367</v>
          </cell>
          <cell r="AB33">
            <v>12</v>
          </cell>
          <cell r="AC33">
            <v>2951</v>
          </cell>
          <cell r="AE33">
            <v>1975</v>
          </cell>
          <cell r="AF33">
            <v>513</v>
          </cell>
          <cell r="AG33">
            <v>45</v>
          </cell>
          <cell r="AH33">
            <v>367</v>
          </cell>
        </row>
        <row r="36">
          <cell r="K36">
            <v>1.7</v>
          </cell>
          <cell r="L36">
            <v>98</v>
          </cell>
          <cell r="N36">
            <v>1</v>
          </cell>
          <cell r="O36">
            <v>0</v>
          </cell>
          <cell r="P36">
            <v>0</v>
          </cell>
          <cell r="Q36">
            <v>97</v>
          </cell>
          <cell r="S36">
            <v>273.83999999999997</v>
          </cell>
          <cell r="T36">
            <v>23043</v>
          </cell>
          <cell r="V36">
            <v>966</v>
          </cell>
          <cell r="W36">
            <v>8199</v>
          </cell>
          <cell r="X36">
            <v>1624</v>
          </cell>
          <cell r="Y36">
            <v>11396</v>
          </cell>
          <cell r="AK36">
            <v>0.01</v>
          </cell>
          <cell r="AL36">
            <v>1</v>
          </cell>
          <cell r="AN36">
            <v>0</v>
          </cell>
          <cell r="AO36">
            <v>0</v>
          </cell>
          <cell r="AP36">
            <v>0</v>
          </cell>
          <cell r="AQ36">
            <v>1</v>
          </cell>
        </row>
        <row r="39">
          <cell r="K39">
            <v>82.75</v>
          </cell>
          <cell r="L39">
            <v>2205</v>
          </cell>
          <cell r="N39">
            <v>221</v>
          </cell>
          <cell r="O39">
            <v>401</v>
          </cell>
          <cell r="P39">
            <v>69</v>
          </cell>
          <cell r="Q39">
            <v>1413</v>
          </cell>
          <cell r="S39">
            <v>87.68</v>
          </cell>
          <cell r="T39">
            <v>5064</v>
          </cell>
          <cell r="V39">
            <v>1110</v>
          </cell>
          <cell r="W39">
            <v>656</v>
          </cell>
          <cell r="X39">
            <v>303</v>
          </cell>
          <cell r="Y39">
            <v>2473</v>
          </cell>
          <cell r="AB39">
            <v>62.8</v>
          </cell>
          <cell r="AC39">
            <v>3505</v>
          </cell>
          <cell r="AE39">
            <v>821</v>
          </cell>
          <cell r="AF39">
            <v>452</v>
          </cell>
          <cell r="AG39">
            <v>272</v>
          </cell>
          <cell r="AH39">
            <v>1571</v>
          </cell>
          <cell r="AK39">
            <v>1.59</v>
          </cell>
          <cell r="AL39">
            <v>451</v>
          </cell>
          <cell r="AN39">
            <v>181</v>
          </cell>
          <cell r="AO39">
            <v>21</v>
          </cell>
          <cell r="AP39">
            <v>0</v>
          </cell>
          <cell r="AQ39">
            <v>244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1:AX114"/>
  <sheetViews>
    <sheetView tabSelected="1" view="pageBreakPreview" topLeftCell="A16" zoomScale="150" zoomScaleNormal="55" zoomScaleSheetLayoutView="150" zoomScalePageLayoutView="40" workbookViewId="0">
      <selection activeCell="A5" sqref="A5"/>
    </sheetView>
  </sheetViews>
  <sheetFormatPr defaultColWidth="9.109375" defaultRowHeight="11.4"/>
  <cols>
    <col min="1" max="1" width="13.21875" style="155" customWidth="1"/>
    <col min="2" max="2" width="8.44140625" style="155" customWidth="1"/>
    <col min="3" max="3" width="9.109375" style="155" customWidth="1"/>
    <col min="4" max="4" width="9.33203125" style="155" customWidth="1"/>
    <col min="5" max="5" width="9.109375" style="155" customWidth="1"/>
    <col min="6" max="6" width="8.6640625" style="155" customWidth="1"/>
    <col min="7" max="7" width="8.33203125" style="155" customWidth="1"/>
    <col min="8" max="8" width="7.6640625" style="155" customWidth="1"/>
    <col min="9" max="9" width="3.88671875" style="155" customWidth="1"/>
    <col min="10" max="10" width="14.6640625" style="155" customWidth="1"/>
    <col min="11" max="11" width="7.5546875" style="155" customWidth="1"/>
    <col min="12" max="12" width="7.88671875" style="155" customWidth="1"/>
    <col min="13" max="13" width="8" style="155" customWidth="1"/>
    <col min="14" max="15" width="7.109375" style="155" customWidth="1"/>
    <col min="16" max="16" width="6.88671875" style="155" customWidth="1"/>
    <col min="17" max="17" width="8.33203125" style="155" customWidth="1"/>
    <col min="18" max="18" width="15" style="155" customWidth="1"/>
    <col min="19" max="19" width="7.88671875" style="155" customWidth="1"/>
    <col min="20" max="20" width="9" style="155" customWidth="1"/>
    <col min="21" max="21" width="9.109375" style="155"/>
    <col min="22" max="23" width="7.33203125" style="155" customWidth="1"/>
    <col min="24" max="25" width="9.109375" style="155"/>
    <col min="26" max="26" width="5.33203125" style="155" customWidth="1"/>
    <col min="27" max="27" width="14.33203125" style="155" customWidth="1"/>
    <col min="28" max="28" width="7.33203125" style="155" customWidth="1"/>
    <col min="29" max="29" width="7.88671875" style="155" customWidth="1"/>
    <col min="30" max="30" width="7.6640625" style="155" customWidth="1"/>
    <col min="31" max="31" width="6.5546875" style="155" customWidth="1"/>
    <col min="32" max="32" width="7.33203125" style="155" customWidth="1"/>
    <col min="33" max="33" width="6.88671875" style="155" customWidth="1"/>
    <col min="34" max="34" width="8.109375" style="155" customWidth="1"/>
    <col min="35" max="35" width="6.5546875" style="155" customWidth="1"/>
    <col min="36" max="36" width="14.33203125" style="155" customWidth="1"/>
    <col min="37" max="37" width="10" style="155" customWidth="1"/>
    <col min="38" max="16384" width="9.109375" style="155"/>
  </cols>
  <sheetData>
    <row r="1" spans="1:50" ht="13.2">
      <c r="K1" s="125"/>
      <c r="L1" s="115"/>
      <c r="M1" s="115"/>
      <c r="N1" s="115"/>
      <c r="O1" s="115"/>
      <c r="P1" s="115"/>
      <c r="Q1" s="197" t="s">
        <v>61</v>
      </c>
    </row>
    <row r="2" spans="1:50" s="151" customFormat="1" ht="15.75" customHeight="1">
      <c r="H2" s="199" t="s">
        <v>34</v>
      </c>
      <c r="K2" s="184"/>
      <c r="L2" s="184"/>
      <c r="M2" s="184"/>
      <c r="N2" s="184"/>
      <c r="O2" s="184"/>
      <c r="P2" s="184"/>
      <c r="Q2" s="198" t="s">
        <v>33</v>
      </c>
    </row>
    <row r="3" spans="1:50" s="151" customFormat="1" ht="18.75" customHeight="1">
      <c r="C3" s="153" t="s">
        <v>94</v>
      </c>
      <c r="D3" s="155"/>
      <c r="E3" s="155"/>
      <c r="F3" s="155"/>
      <c r="G3" s="155"/>
      <c r="H3" s="155"/>
      <c r="I3" s="155"/>
    </row>
    <row r="4" spans="1:50" s="153" customFormat="1" ht="35.25" customHeight="1">
      <c r="A4" s="460" t="s">
        <v>127</v>
      </c>
      <c r="B4" s="460"/>
      <c r="C4" s="460"/>
      <c r="D4" s="460"/>
      <c r="E4" s="460"/>
      <c r="F4" s="460"/>
      <c r="G4" s="460"/>
      <c r="H4" s="460"/>
      <c r="I4" s="152"/>
      <c r="J4" s="152"/>
      <c r="K4" s="151"/>
      <c r="L4" s="151"/>
      <c r="M4" s="151"/>
      <c r="N4" s="151"/>
      <c r="O4" s="151"/>
      <c r="P4" s="151"/>
      <c r="Q4" s="151"/>
    </row>
    <row r="5" spans="1:50" ht="21.75" customHeight="1">
      <c r="A5" s="153" t="s">
        <v>35</v>
      </c>
      <c r="B5" s="154"/>
      <c r="C5" s="154"/>
      <c r="D5" s="154"/>
      <c r="F5" s="156"/>
      <c r="G5" s="154"/>
      <c r="H5" s="154"/>
      <c r="J5" s="196" t="s">
        <v>36</v>
      </c>
      <c r="O5" s="157"/>
      <c r="P5" s="158"/>
      <c r="R5" s="153" t="s">
        <v>37</v>
      </c>
      <c r="W5" s="151"/>
      <c r="X5" s="151"/>
      <c r="AA5" s="193" t="s">
        <v>38</v>
      </c>
      <c r="AB5" s="159"/>
      <c r="AC5" s="159"/>
      <c r="AD5" s="159"/>
      <c r="AE5" s="159"/>
      <c r="AF5" s="159"/>
      <c r="AG5" s="159"/>
      <c r="AJ5" s="193" t="s">
        <v>58</v>
      </c>
      <c r="AK5" s="196"/>
      <c r="AP5" s="196"/>
    </row>
    <row r="6" spans="1:50" ht="12">
      <c r="A6" s="456" t="s">
        <v>0</v>
      </c>
      <c r="B6" s="179" t="s">
        <v>1</v>
      </c>
      <c r="C6" s="179" t="s">
        <v>2</v>
      </c>
      <c r="D6" s="179" t="s">
        <v>3</v>
      </c>
      <c r="E6" s="179" t="s">
        <v>4</v>
      </c>
      <c r="F6" s="179" t="s">
        <v>5</v>
      </c>
      <c r="G6" s="179" t="s">
        <v>6</v>
      </c>
      <c r="H6" s="179" t="s">
        <v>7</v>
      </c>
      <c r="J6" s="456" t="s">
        <v>0</v>
      </c>
      <c r="K6" s="179" t="s">
        <v>1</v>
      </c>
      <c r="L6" s="179" t="s">
        <v>2</v>
      </c>
      <c r="M6" s="179" t="s">
        <v>3</v>
      </c>
      <c r="N6" s="179" t="s">
        <v>4</v>
      </c>
      <c r="O6" s="179" t="s">
        <v>5</v>
      </c>
      <c r="P6" s="179" t="s">
        <v>6</v>
      </c>
      <c r="Q6" s="179" t="s">
        <v>7</v>
      </c>
      <c r="R6" s="456" t="s">
        <v>0</v>
      </c>
      <c r="S6" s="179" t="s">
        <v>1</v>
      </c>
      <c r="T6" s="179" t="s">
        <v>2</v>
      </c>
      <c r="U6" s="179" t="s">
        <v>3</v>
      </c>
      <c r="V6" s="179" t="s">
        <v>4</v>
      </c>
      <c r="W6" s="179" t="s">
        <v>5</v>
      </c>
      <c r="X6" s="179" t="s">
        <v>6</v>
      </c>
      <c r="Y6" s="179" t="s">
        <v>7</v>
      </c>
      <c r="Z6" s="181"/>
      <c r="AA6" s="458" t="s">
        <v>0</v>
      </c>
      <c r="AB6" s="182" t="s">
        <v>1</v>
      </c>
      <c r="AC6" s="182" t="s">
        <v>2</v>
      </c>
      <c r="AD6" s="182" t="s">
        <v>3</v>
      </c>
      <c r="AE6" s="182" t="s">
        <v>4</v>
      </c>
      <c r="AF6" s="182" t="s">
        <v>5</v>
      </c>
      <c r="AG6" s="182" t="s">
        <v>6</v>
      </c>
      <c r="AH6" s="182" t="s">
        <v>7</v>
      </c>
      <c r="AI6" s="183"/>
      <c r="AJ6" s="182" t="s">
        <v>0</v>
      </c>
      <c r="AK6" s="456" t="s">
        <v>1</v>
      </c>
      <c r="AL6" s="179" t="s">
        <v>2</v>
      </c>
      <c r="AM6" s="179" t="s">
        <v>3</v>
      </c>
      <c r="AN6" s="179" t="s">
        <v>4</v>
      </c>
      <c r="AO6" s="179" t="s">
        <v>5</v>
      </c>
      <c r="AP6" s="179" t="s">
        <v>6</v>
      </c>
      <c r="AQ6" s="179" t="s">
        <v>7</v>
      </c>
    </row>
    <row r="7" spans="1:50" ht="12">
      <c r="A7" s="457"/>
      <c r="B7" s="180" t="s">
        <v>8</v>
      </c>
      <c r="C7" s="180" t="s">
        <v>9</v>
      </c>
      <c r="D7" s="180" t="s">
        <v>10</v>
      </c>
      <c r="E7" s="180" t="s">
        <v>9</v>
      </c>
      <c r="F7" s="180" t="s">
        <v>9</v>
      </c>
      <c r="G7" s="180" t="s">
        <v>9</v>
      </c>
      <c r="H7" s="180" t="s">
        <v>9</v>
      </c>
      <c r="J7" s="457"/>
      <c r="K7" s="180" t="s">
        <v>8</v>
      </c>
      <c r="L7" s="180" t="s">
        <v>9</v>
      </c>
      <c r="M7" s="180" t="s">
        <v>10</v>
      </c>
      <c r="N7" s="180" t="s">
        <v>9</v>
      </c>
      <c r="O7" s="180" t="s">
        <v>9</v>
      </c>
      <c r="P7" s="180" t="s">
        <v>9</v>
      </c>
      <c r="Q7" s="180" t="s">
        <v>9</v>
      </c>
      <c r="R7" s="457"/>
      <c r="S7" s="180" t="s">
        <v>8</v>
      </c>
      <c r="T7" s="180" t="s">
        <v>9</v>
      </c>
      <c r="U7" s="180" t="s">
        <v>10</v>
      </c>
      <c r="V7" s="180" t="s">
        <v>9</v>
      </c>
      <c r="W7" s="180" t="s">
        <v>9</v>
      </c>
      <c r="X7" s="180" t="s">
        <v>9</v>
      </c>
      <c r="Y7" s="180" t="s">
        <v>9</v>
      </c>
      <c r="Z7" s="181"/>
      <c r="AA7" s="459"/>
      <c r="AB7" s="182" t="s">
        <v>8</v>
      </c>
      <c r="AC7" s="182" t="s">
        <v>9</v>
      </c>
      <c r="AD7" s="182" t="s">
        <v>10</v>
      </c>
      <c r="AE7" s="182" t="s">
        <v>9</v>
      </c>
      <c r="AF7" s="182" t="s">
        <v>9</v>
      </c>
      <c r="AG7" s="182" t="s">
        <v>9</v>
      </c>
      <c r="AH7" s="182" t="s">
        <v>9</v>
      </c>
      <c r="AI7" s="183"/>
      <c r="AJ7" s="182"/>
      <c r="AK7" s="457" t="s">
        <v>8</v>
      </c>
      <c r="AL7" s="180" t="s">
        <v>9</v>
      </c>
      <c r="AM7" s="180" t="s">
        <v>10</v>
      </c>
      <c r="AN7" s="180" t="s">
        <v>9</v>
      </c>
      <c r="AO7" s="180" t="s">
        <v>9</v>
      </c>
      <c r="AP7" s="180" t="s">
        <v>9</v>
      </c>
      <c r="AQ7" s="180" t="s">
        <v>9</v>
      </c>
    </row>
    <row r="8" spans="1:50" ht="12">
      <c r="A8" s="194" t="s">
        <v>17</v>
      </c>
      <c r="B8" s="161"/>
      <c r="C8" s="161"/>
      <c r="D8" s="161"/>
      <c r="E8" s="161"/>
      <c r="F8" s="161"/>
      <c r="G8" s="161"/>
      <c r="H8" s="161"/>
      <c r="I8" s="162"/>
      <c r="J8" s="194" t="s">
        <v>17</v>
      </c>
      <c r="K8" s="161"/>
      <c r="L8" s="161"/>
      <c r="M8" s="161"/>
      <c r="N8" s="161"/>
      <c r="O8" s="161"/>
      <c r="P8" s="161"/>
      <c r="Q8" s="161"/>
      <c r="R8" s="194" t="s">
        <v>17</v>
      </c>
      <c r="S8" s="163"/>
      <c r="T8" s="161"/>
      <c r="U8" s="161"/>
      <c r="V8" s="161"/>
      <c r="W8" s="161"/>
      <c r="X8" s="161"/>
      <c r="Y8" s="161"/>
      <c r="Z8" s="162"/>
      <c r="AA8" s="170" t="s">
        <v>17</v>
      </c>
      <c r="AB8" s="161"/>
      <c r="AC8" s="161"/>
      <c r="AD8" s="161"/>
      <c r="AE8" s="161"/>
      <c r="AF8" s="161"/>
      <c r="AG8" s="161"/>
      <c r="AH8" s="161"/>
      <c r="AI8" s="164"/>
      <c r="AJ8" s="161" t="s">
        <v>17</v>
      </c>
      <c r="AK8" s="174"/>
      <c r="AL8" s="161"/>
      <c r="AM8" s="161"/>
      <c r="AN8" s="161"/>
      <c r="AO8" s="161"/>
      <c r="AP8" s="161"/>
      <c r="AQ8" s="161"/>
      <c r="AR8" s="162"/>
      <c r="AS8" s="162"/>
    </row>
    <row r="9" spans="1:50" ht="12">
      <c r="A9" s="170" t="s">
        <v>18</v>
      </c>
      <c r="B9" s="163">
        <f>Bujnovci!B9+Elena!B9+Bolqrka!B9+Gorna!B9+Svishtov!B9+Rosica!B9+Gabrovo!B9+Plachkovci!B9+Sevlievo!B9+Bqla!B9+Dunav_Ruse!B9+Silistra!B9+Tutrakan!B9+Seslav!B9+Karakuz!B9+Razgrad!B9+Voden!B9</f>
        <v>11444.86</v>
      </c>
      <c r="C9" s="161">
        <f>Bujnovci!C9+Elena!C9+Bolqrka!C9+Gorna!C9+Svishtov!C9+Rosica!C9+Gabrovo!C9+Plachkovci!C9+Sevlievo!C9+Bqla!C9+Dunav_Ruse!C9+Silistra!C9+Tutrakan!C9+Seslav!C9+Karakuz!C9+Razgrad!C9+Voden!C9</f>
        <v>648873</v>
      </c>
      <c r="D9" s="161">
        <f>Bujnovci!D9+Elena!D9+Bolqrka!D9+Gorna!D9+Svishtov!D9+Rosica!D9+Gabrovo!D9+Plachkovci!D9+Sevlievo!D9+Bqla!D9+Dunav_Ruse!D9+Silistra!D9+Tutrakan!D9+Seslav!D9+Karakuz!D9+Razgrad!D9+Voden!D9</f>
        <v>551206.5</v>
      </c>
      <c r="E9" s="161">
        <f>Bujnovci!E9+Elena!E9+Bolqrka!E9+Gorna!E9+Svishtov!E9+Rosica!E9+Gabrovo!E9+Plachkovci!E9+Sevlievo!E9+Bqla!E9+Dunav_Ruse!E9+Silistra!E9+Tutrakan!E9+Seslav!E9+Karakuz!E9+Razgrad!E9+Voden!E9</f>
        <v>101868</v>
      </c>
      <c r="F9" s="161">
        <f>Bujnovci!F9+Elena!F9+Bolqrka!F9+Gorna!F9+Svishtov!F9+Rosica!F9+Gabrovo!F9+Plachkovci!F9+Sevlievo!F9+Bqla!F9+Dunav_Ruse!F9+Silistra!F9+Tutrakan!F9+Seslav!F9+Karakuz!F9+Razgrad!F9+Voden!F9</f>
        <v>124767.5</v>
      </c>
      <c r="G9" s="161">
        <f>Bujnovci!G9+Elena!G9+Bolqrka!G9+Gorna!G9+Svishtov!G9+Rosica!G9+Gabrovo!G9+Plachkovci!G9+Sevlievo!G9+Bqla!G9+Dunav_Ruse!G9+Silistra!G9+Tutrakan!G9+Seslav!G9+Karakuz!G9+Razgrad!G9+Voden!G9</f>
        <v>26828</v>
      </c>
      <c r="H9" s="161">
        <f>Bujnovci!H9+Elena!H9+Bolqrka!H9+Gorna!H9+Svishtov!H9+Rosica!H9+Gabrovo!H9+Plachkovci!H9+Sevlievo!H9+Bqla!H9+Dunav_Ruse!H9+Silistra!H9+Tutrakan!H9+Seslav!H9+Karakuz!H9+Razgrad!H9+Voden!H9</f>
        <v>296633</v>
      </c>
      <c r="I9" s="162"/>
      <c r="J9" s="170" t="s">
        <v>18</v>
      </c>
      <c r="K9" s="163">
        <f>Bujnovci!K9+Elena!K9+Bolqrka!K9+Gorna!K9+Svishtov!K9+Rosica!K9+Gabrovo!K9+Plachkovci!K9+Sevlievo!K9+Bqla!K9+Dunav_Ruse!K9+Silistra!K9+Tutrakan!K9+Seslav!K9+Karakuz!K9+Razgrad!K9+Voden!K9</f>
        <v>4060.28</v>
      </c>
      <c r="L9" s="161">
        <f>Bujnovci!L9+Elena!L9+Bolqrka!L9+Gorna!L9+Svishtov!L9+Rosica!L9+Gabrovo!L9+Plachkovci!L9+Sevlievo!L9+Bqla!L9+Dunav_Ruse!L9+Silistra!L9+Tutrakan!L9+Seslav!L9+Karakuz!L9+Razgrad!L9+Voden!L9</f>
        <v>161875.5</v>
      </c>
      <c r="M9" s="161">
        <f>Bujnovci!M9+Elena!M9+Bolqrka!M9+Gorna!M9+Svishtov!M9+Rosica!M9+Gabrovo!M9+Plachkovci!M9+Sevlievo!M9+Bqla!M9+Dunav_Ruse!M9+Silistra!M9+Tutrakan!M9+Seslav!M9+Karakuz!M9+Razgrad!M9+Voden!M9</f>
        <v>132380.5</v>
      </c>
      <c r="N9" s="161">
        <f>Bujnovci!N9+Elena!N9+Bolqrka!N9+Gorna!N9+Svishtov!N9+Rosica!N9+Gabrovo!N9+Plachkovci!N9+Sevlievo!N9+Bqla!N9+Dunav_Ruse!N9+Silistra!N9+Tutrakan!N9+Seslav!N9+Karakuz!N9+Razgrad!N9+Voden!N9</f>
        <v>14051</v>
      </c>
      <c r="O9" s="161">
        <f>Bujnovci!O9+Elena!O9+Bolqrka!O9+Gorna!O9+Svishtov!O9+Rosica!O9+Gabrovo!O9+Plachkovci!O9+Sevlievo!O9+Bqla!O9+Dunav_Ruse!O9+Silistra!O9+Tutrakan!O9+Seslav!O9+Karakuz!O9+Razgrad!O9+Voden!O9</f>
        <v>37109.5</v>
      </c>
      <c r="P9" s="161">
        <f>Bujnovci!P9+Elena!P9+Bolqrka!P9+Gorna!P9+Svishtov!P9+Rosica!P9+Gabrovo!P9+Plachkovci!P9+Sevlievo!P9+Bqla!P9+Dunav_Ruse!P9+Silistra!P9+Tutrakan!P9+Seslav!P9+Karakuz!P9+Razgrad!P9+Voden!P9</f>
        <v>8646.5</v>
      </c>
      <c r="Q9" s="161">
        <f>Bujnovci!Q9+Elena!Q9+Bolqrka!Q9+Gorna!Q9+Svishtov!Q9+Rosica!Q9+Gabrovo!Q9+Plachkovci!Q9+Sevlievo!Q9+Bqla!Q9+Dunav_Ruse!Q9+Silistra!Q9+Tutrakan!Q9+Seslav!Q9+Karakuz!Q9+Razgrad!Q9+Voden!Q9</f>
        <v>72055.5</v>
      </c>
      <c r="R9" s="170" t="s">
        <v>18</v>
      </c>
      <c r="S9" s="163">
        <f>Bujnovci!S9+Elena!S9+Bolqrka!S9+Gorna!S9+Svishtov!S9+Rosica!S9+Gabrovo!S9+Plachkovci!S9+Sevlievo!S9+Bqla!S9+Dunav_Ruse!S9+Silistra!S9+Tutrakan!S9+Seslav!S9+Karakuz!S9+Razgrad!S9+Voden!S9</f>
        <v>7023.579999999999</v>
      </c>
      <c r="T9" s="161">
        <f>Bujnovci!T9+Elena!T9+Bolqrka!T9+Gorna!T9+Svishtov!T9+Rosica!T9+Gabrovo!T9+Plachkovci!T9+Sevlievo!T9+Bqla!T9+Dunav_Ruse!T9+Silistra!T9+Tutrakan!T9+Seslav!T9+Karakuz!T9+Razgrad!T9+Voden!T9</f>
        <v>474961.5</v>
      </c>
      <c r="U9" s="161">
        <f>Bujnovci!U9+Elena!U9+Bolqrka!U9+Gorna!U9+Svishtov!U9+Rosica!U9+Gabrovo!U9+Plachkovci!U9+Sevlievo!U9+Bqla!U9+Dunav_Ruse!U9+Silistra!U9+Tutrakan!U9+Seslav!U9+Karakuz!U9+Razgrad!U9+Voden!U9</f>
        <v>409615</v>
      </c>
      <c r="V9" s="161">
        <f>Bujnovci!V9+Elena!V9+Bolqrka!V9+Gorna!V9+Svishtov!V9+Rosica!V9+Gabrovo!V9+Plachkovci!V9+Sevlievo!V9+Bqla!V9+Dunav_Ruse!V9+Silistra!V9+Tutrakan!V9+Seslav!V9+Karakuz!V9+Razgrad!V9+Voden!V9</f>
        <v>87103</v>
      </c>
      <c r="W9" s="161">
        <f>Bujnovci!W9+Elena!W9+Bolqrka!W9+Gorna!W9+Svishtov!W9+Rosica!W9+Gabrovo!W9+Plachkovci!W9+Sevlievo!W9+Bqla!W9+Dunav_Ruse!W9+Silistra!W9+Tutrakan!W9+Seslav!W9+Karakuz!W9+Razgrad!W9+Voden!W9</f>
        <v>85555</v>
      </c>
      <c r="X9" s="161">
        <f>Bujnovci!X9+Elena!X9+Bolqrka!X9+Gorna!X9+Svishtov!X9+Rosica!X9+Gabrovo!X9+Plachkovci!X9+Sevlievo!X9+Bqla!X9+Dunav_Ruse!X9+Silistra!X9+Tutrakan!X9+Seslav!X9+Karakuz!X9+Razgrad!X9+Voden!X9</f>
        <v>17527.5</v>
      </c>
      <c r="Y9" s="161">
        <f>Bujnovci!Y9+Elena!Y9+Bolqrka!Y9+Gorna!Y9+Svishtov!Y9+Rosica!Y9+Gabrovo!Y9+Plachkovci!Y9+Sevlievo!Y9+Bqla!Y9+Dunav_Ruse!Y9+Silistra!Y9+Tutrakan!Y9+Seslav!Y9+Karakuz!Y9+Razgrad!Y9+Voden!Y9</f>
        <v>218844.5</v>
      </c>
      <c r="Z9" s="162"/>
      <c r="AA9" s="170" t="s">
        <v>18</v>
      </c>
      <c r="AB9" s="163">
        <f>Bujnovci!AB9+Elena!AB9+Bolqrka!AB9+Gorna!AB9+Svishtov!AB9+Rosica!AB9+Gabrovo!AB9+Plachkovci!AB9+Sevlievo!AB9+Bqla!AB9+Dunav_Ruse!AB9+Silistra!AB9+Tutrakan!AB9+Seslav!AB9+Karakuz!AB9+Razgrad!AB9+Voden!AB9</f>
        <v>1937.5800000000004</v>
      </c>
      <c r="AC9" s="161">
        <f>Bujnovci!AC9+Elena!AC9+Bolqrka!AC9+Gorna!AC9+Svishtov!AC9+Rosica!AC9+Gabrovo!AC9+Plachkovci!AC9+Sevlievo!AC9+Bqla!AC9+Dunav_Ruse!AC9+Silistra!AC9+Tutrakan!AC9+Seslav!AC9+Karakuz!AC9+Razgrad!AC9+Voden!AC9</f>
        <v>183460</v>
      </c>
      <c r="AD9" s="161">
        <f>Bujnovci!AD9+Elena!AD9+Bolqrka!AD9+Gorna!AD9+Svishtov!AD9+Rosica!AD9+Gabrovo!AD9+Plachkovci!AD9+Sevlievo!AD9+Bqla!AD9+Dunav_Ruse!AD9+Silistra!AD9+Tutrakan!AD9+Seslav!AD9+Karakuz!AD9+Razgrad!AD9+Voden!AD9</f>
        <v>165048</v>
      </c>
      <c r="AE9" s="161">
        <f>Bujnovci!AE9+Elena!AE9+Bolqrka!AE9+Gorna!AE9+Svishtov!AE9+Rosica!AE9+Gabrovo!AE9+Plachkovci!AE9+Sevlievo!AE9+Bqla!AE9+Dunav_Ruse!AE9+Silistra!AE9+Tutrakan!AE9+Seslav!AE9+Karakuz!AE9+Razgrad!AE9+Voden!AE9</f>
        <v>71450</v>
      </c>
      <c r="AF9" s="161">
        <f>Bujnovci!AF9+Elena!AF9+Bolqrka!AF9+Gorna!AF9+Svishtov!AF9+Rosica!AF9+Gabrovo!AF9+Plachkovci!AF9+Sevlievo!AF9+Bqla!AF9+Dunav_Ruse!AF9+Silistra!AF9+Tutrakan!AF9+Seslav!AF9+Karakuz!AF9+Razgrad!AF9+Voden!AF9</f>
        <v>30137.5</v>
      </c>
      <c r="AG9" s="161">
        <f>Bujnovci!AG9+Elena!AG9+Bolqrka!AG9+Gorna!AG9+Svishtov!AG9+Rosica!AG9+Gabrovo!AG9+Plachkovci!AG9+Sevlievo!AG9+Bqla!AG9+Dunav_Ruse!AG9+Silistra!AG9+Tutrakan!AG9+Seslav!AG9+Karakuz!AG9+Razgrad!AG9+Voden!AG9</f>
        <v>3748</v>
      </c>
      <c r="AH9" s="161">
        <f>Bujnovci!AH9+Elena!AH9+Bolqrka!AH9+Gorna!AH9+Svishtov!AH9+Rosica!AH9+Gabrovo!AH9+Plachkovci!AH9+Sevlievo!AH9+Bqla!AH9+Dunav_Ruse!AH9+Silistra!AH9+Tutrakan!AH9+Seslav!AH9+Karakuz!AH9+Razgrad!AH9+Voden!AH9</f>
        <v>59583.5</v>
      </c>
      <c r="AI9" s="166"/>
      <c r="AJ9" s="161" t="s">
        <v>18</v>
      </c>
      <c r="AK9" s="163">
        <f>Bujnovci!AK9+Elena!AK9+Bolqrka!AK9+Gorna!AK9+Svishtov!AK9+Rosica!AK9+Gabrovo!AK9+Plachkovci!AK9+Sevlievo!AK9+Bqla!AK9+Dunav_Ruse!AK9+Silistra!AK9+Tutrakan!AK9+Seslav!AK9+Karakuz!AK9+Razgrad!AK9+Voden!AK9</f>
        <v>361.29999999999995</v>
      </c>
      <c r="AL9" s="161">
        <f>Bujnovci!AL9+Elena!AL9+Bolqrka!AL9+Gorna!AL9+Svishtov!AL9+Rosica!AL9+Gabrovo!AL9+Plachkovci!AL9+Sevlievo!AL9+Bqla!AL9+Dunav_Ruse!AL9+Silistra!AL9+Tutrakan!AL9+Seslav!AL9+Karakuz!AL9+Razgrad!AL9+Voden!AL9</f>
        <v>12036</v>
      </c>
      <c r="AM9" s="161">
        <f>Bujnovci!AM9+Elena!AM9+Bolqrka!AM9+Gorna!AM9+Svishtov!AM9+Rosica!AM9+Gabrovo!AM9+Plachkovci!AM9+Sevlievo!AM9+Bqla!AM9+Dunav_Ruse!AM9+Silistra!AM9+Tutrakan!AM9+Seslav!AM9+Karakuz!AM9+Razgrad!AM9+Voden!AM9</f>
        <v>9211</v>
      </c>
      <c r="AN9" s="161">
        <f>Bujnovci!AN9+Elena!AN9+Bolqrka!AN9+Gorna!AN9+Svishtov!AN9+Rosica!AN9+Gabrovo!AN9+Plachkovci!AN9+Sevlievo!AN9+Bqla!AN9+Dunav_Ruse!AN9+Silistra!AN9+Tutrakan!AN9+Seslav!AN9+Karakuz!AN9+Razgrad!AN9+Voden!AN9</f>
        <v>714</v>
      </c>
      <c r="AO9" s="161">
        <f>Bujnovci!AO9+Elena!AO9+Bolqrka!AO9+Gorna!AO9+Svishtov!AO9+Rosica!AO9+Gabrovo!AO9+Plachkovci!AO9+Sevlievo!AO9+Bqla!AO9+Dunav_Ruse!AO9+Silistra!AO9+Tutrakan!AO9+Seslav!AO9+Karakuz!AO9+Razgrad!AO9+Voden!AO9</f>
        <v>2103</v>
      </c>
      <c r="AP9" s="161">
        <f>Bujnovci!AP9+Elena!AP9+Bolqrka!AP9+Gorna!AP9+Svishtov!AP9+Rosica!AP9+Gabrovo!AP9+Plachkovci!AP9+Sevlievo!AP9+Bqla!AP9+Dunav_Ruse!AP9+Silistra!AP9+Tutrakan!AP9+Seslav!AP9+Karakuz!AP9+Razgrad!AP9+Voden!AP9</f>
        <v>654</v>
      </c>
      <c r="AQ9" s="161">
        <f>Bujnovci!AQ9+Elena!AQ9+Bolqrka!AQ9+Gorna!AQ9+Svishtov!AQ9+Rosica!AQ9+Gabrovo!AQ9+Plachkovci!AQ9+Sevlievo!AQ9+Bqla!AQ9+Dunav_Ruse!AQ9+Silistra!AQ9+Tutrakan!AQ9+Seslav!AQ9+Karakuz!AQ9+Razgrad!AQ9+Voden!AQ9</f>
        <v>5733</v>
      </c>
      <c r="AR9" s="162"/>
      <c r="AS9" s="162"/>
    </row>
    <row r="10" spans="1:50">
      <c r="A10" s="168" t="s">
        <v>19</v>
      </c>
      <c r="B10" s="165">
        <f>Bujnovci!B10+Elena!B10+Bolqrka!B10+Gorna!B10+Svishtov!B10+Rosica!B10+Gabrovo!B10+Plachkovci!B10+Sevlievo!B10+Bqla!B10+Dunav_Ruse!B10+Silistra!B10+Tutrakan!B10+Seslav!B10+Karakuz!B10+Razgrad!B10+Voden!B10</f>
        <v>10345.972</v>
      </c>
      <c r="C10" s="167">
        <f>Bujnovci!C10+Elena!C10+Bolqrka!C10+Gorna!C10+Svishtov!C10+Rosica!C10+Gabrovo!C10+Plachkovci!C10+Sevlievo!C10+Bqla!C10+Dunav_Ruse!C10+Silistra!C10+Tutrakan!C10+Seslav!C10+Karakuz!C10+Razgrad!C10+Voden!C10</f>
        <v>599474</v>
      </c>
      <c r="D10" s="167">
        <f>Bujnovci!D10+Elena!D10+Bolqrka!D10+Gorna!D10+Svishtov!D10+Rosica!D10+Gabrovo!D10+Plachkovci!D10+Sevlievo!D10+Bqla!D10+Dunav_Ruse!D10+Silistra!D10+Tutrakan!D10+Seslav!D10+Karakuz!D10+Razgrad!D10+Voden!D10</f>
        <v>544438</v>
      </c>
      <c r="E10" s="167">
        <f>Bujnovci!E10+Elena!E10+Bolqrka!E10+Gorna!E10+Svishtov!E10+Rosica!E10+Gabrovo!E10+Plachkovci!E10+Sevlievo!E10+Bqla!E10+Dunav_Ruse!E10+Silistra!E10+Tutrakan!E10+Seslav!E10+Karakuz!E10+Razgrad!E10+Voden!E10</f>
        <v>96084</v>
      </c>
      <c r="F10" s="167">
        <f>Bujnovci!F10+Elena!F10+Bolqrka!F10+Gorna!F10+Svishtov!F10+Rosica!F10+Gabrovo!F10+Plachkovci!F10+Sevlievo!F10+Bqla!F10+Dunav_Ruse!F10+Silistra!F10+Tutrakan!F10+Seslav!F10+Karakuz!F10+Razgrad!F10+Voden!F10</f>
        <v>83389</v>
      </c>
      <c r="G10" s="167">
        <f>Bujnovci!G10+Elena!G10+Bolqrka!G10+Gorna!G10+Svishtov!G10+Rosica!G10+Gabrovo!G10+Plachkovci!G10+Sevlievo!G10+Bqla!G10+Dunav_Ruse!G10+Silistra!G10+Tutrakan!G10+Seslav!G10+Karakuz!G10+Razgrad!G10+Voden!G10</f>
        <v>16072</v>
      </c>
      <c r="H10" s="167">
        <f>Bujnovci!H10+Elena!H10+Bolqrka!H10+Gorna!H10+Svishtov!H10+Rosica!H10+Gabrovo!H10+Plachkovci!H10+Sevlievo!H10+Bqla!H10+Dunav_Ruse!H10+Silistra!H10+Tutrakan!H10+Seslav!H10+Karakuz!H10+Razgrad!H10+Voden!H10</f>
        <v>348893</v>
      </c>
      <c r="I10" s="162"/>
      <c r="J10" s="168" t="s">
        <v>19</v>
      </c>
      <c r="K10" s="165">
        <f>Bujnovci!K10+Elena!K10+Bolqrka!K10+Gorna!K10+Svishtov!K10+Rosica!K10+Gabrovo!K10+Plachkovci!K10+Sevlievo!K10+Bqla!K10+Dunav_Ruse!K10+Silistra!K10+Tutrakan!K10+Seslav!K10+Karakuz!K10+Razgrad!K10+Voden!K10</f>
        <v>4245.8999999999996</v>
      </c>
      <c r="L10" s="167">
        <f>Bujnovci!L10+Elena!L10+Bolqrka!L10+Gorna!L10+Svishtov!L10+Rosica!L10+Gabrovo!L10+Plachkovci!L10+Sevlievo!L10+Bqla!L10+Dunav_Ruse!L10+Silistra!L10+Tutrakan!L10+Seslav!L10+Karakuz!L10+Razgrad!L10+Voden!L10</f>
        <v>201789</v>
      </c>
      <c r="M10" s="167">
        <f>Bujnovci!M10+Elena!M10+Bolqrka!M10+Gorna!M10+Svishtov!M10+Rosica!M10+Gabrovo!M10+Plachkovci!M10+Sevlievo!M10+Bqla!M10+Dunav_Ruse!M10+Silistra!M10+Tutrakan!M10+Seslav!M10+Karakuz!M10+Razgrad!M10+Voden!M10</f>
        <v>179569</v>
      </c>
      <c r="N10" s="167">
        <f>Bujnovci!N10+Elena!N10+Bolqrka!N10+Gorna!N10+Svishtov!N10+Rosica!N10+Gabrovo!N10+Plachkovci!N10+Sevlievo!N10+Bqla!N10+Dunav_Ruse!N10+Silistra!N10+Tutrakan!N10+Seslav!N10+Karakuz!N10+Razgrad!N10+Voden!N10</f>
        <v>27674</v>
      </c>
      <c r="O10" s="167">
        <f>Bujnovci!O10+Elena!O10+Bolqrka!O10+Gorna!O10+Svishtov!O10+Rosica!O10+Gabrovo!O10+Plachkovci!O10+Sevlievo!O10+Bqla!O10+Dunav_Ruse!O10+Silistra!O10+Tutrakan!O10+Seslav!O10+Karakuz!O10+Razgrad!O10+Voden!O10</f>
        <v>25890</v>
      </c>
      <c r="P10" s="167">
        <f>Bujnovci!P10+Elena!P10+Bolqrka!P10+Gorna!P10+Svishtov!P10+Rosica!P10+Gabrovo!P10+Plachkovci!P10+Sevlievo!P10+Bqla!P10+Dunav_Ruse!P10+Silistra!P10+Tutrakan!P10+Seslav!P10+Karakuz!P10+Razgrad!P10+Voden!P10</f>
        <v>3428</v>
      </c>
      <c r="Q10" s="167">
        <f>Bujnovci!Q10+Elena!Q10+Bolqrka!Q10+Gorna!Q10+Svishtov!Q10+Rosica!Q10+Gabrovo!Q10+Plachkovci!Q10+Sevlievo!Q10+Bqla!Q10+Dunav_Ruse!Q10+Silistra!Q10+Tutrakan!Q10+Seslav!Q10+Karakuz!Q10+Razgrad!Q10+Voden!Q10</f>
        <v>122577</v>
      </c>
      <c r="R10" s="195" t="s">
        <v>19</v>
      </c>
      <c r="S10" s="165">
        <f>Bujnovci!S10+Elena!S10+Bolqrka!S10+Gorna!S10+Svishtov!S10+Rosica!S10+Gabrovo!S10+Plachkovci!S10+Sevlievo!S10+Bqla!S10+Dunav_Ruse!S10+Silistra!S10+Tutrakan!S10+Seslav!S10+Karakuz!S10+Razgrad!S10+Voden!S10</f>
        <v>5891.6</v>
      </c>
      <c r="T10" s="167">
        <f>Bujnovci!T10+Elena!T10+Bolqrka!T10+Gorna!T10+Svishtov!T10+Rosica!T10+Gabrovo!T10+Plachkovci!T10+Sevlievo!T10+Bqla!T10+Dunav_Ruse!T10+Silistra!T10+Tutrakan!T10+Seslav!T10+Karakuz!T10+Razgrad!T10+Voden!T10</f>
        <v>383657</v>
      </c>
      <c r="U10" s="167">
        <f>Bujnovci!U10+Elena!U10+Bolqrka!U10+Gorna!U10+Svishtov!U10+Rosica!U10+Gabrovo!U10+Plachkovci!U10+Sevlievo!U10+Bqla!U10+Dunav_Ruse!U10+Silistra!U10+Tutrakan!U10+Seslav!U10+Karakuz!U10+Razgrad!U10+Voden!U10</f>
        <v>351825</v>
      </c>
      <c r="V10" s="167">
        <f>Bujnovci!V10+Elena!V10+Bolqrka!V10+Gorna!V10+Svishtov!V10+Rosica!V10+Gabrovo!V10+Plachkovci!V10+Sevlievo!V10+Bqla!V10+Dunav_Ruse!V10+Silistra!V10+Tutrakan!V10+Seslav!V10+Karakuz!V10+Razgrad!V10+Voden!V10</f>
        <v>67441</v>
      </c>
      <c r="W10" s="167">
        <f>Bujnovci!W10+Elena!W10+Bolqrka!W10+Gorna!W10+Svishtov!W10+Rosica!W10+Gabrovo!W10+Plachkovci!W10+Sevlievo!W10+Bqla!W10+Dunav_Ruse!W10+Silistra!W10+Tutrakan!W10+Seslav!W10+Karakuz!W10+Razgrad!W10+Voden!W10</f>
        <v>56972</v>
      </c>
      <c r="X10" s="167">
        <f>Bujnovci!X10+Elena!X10+Bolqrka!X10+Gorna!X10+Svishtov!X10+Rosica!X10+Gabrovo!X10+Plachkovci!X10+Sevlievo!X10+Bqla!X10+Dunav_Ruse!X10+Silistra!X10+Tutrakan!X10+Seslav!X10+Karakuz!X10+Razgrad!X10+Voden!X10</f>
        <v>12612</v>
      </c>
      <c r="Y10" s="167">
        <f>Bujnovci!Y10+Elena!Y10+Bolqrka!Y10+Gorna!Y10+Svishtov!Y10+Rosica!Y10+Gabrovo!Y10+Plachkovci!Y10+Sevlievo!Y10+Bqla!Y10+Dunav_Ruse!Y10+Silistra!Y10+Tutrakan!Y10+Seslav!Y10+Karakuz!Y10+Razgrad!Y10+Voden!Y10</f>
        <v>214800</v>
      </c>
      <c r="Z10" s="162"/>
      <c r="AA10" s="168" t="s">
        <v>19</v>
      </c>
      <c r="AB10" s="165">
        <f>Bujnovci!AB10+Elena!AB10+Bolqrka!AB10+Gorna!AB10+Svishtov!AB10+Rosica!AB10+Gabrovo!AB10+Plachkovci!AB10+Sevlievo!AB10+Bqla!AB10+Dunav_Ruse!AB10+Silistra!AB10+Tutrakan!AB10+Seslav!AB10+Karakuz!AB10+Razgrad!AB10+Voden!AB10</f>
        <v>1193.9999999999998</v>
      </c>
      <c r="AC10" s="167">
        <f>Bujnovci!AC10+Elena!AC10+Bolqrka!AC10+Gorna!AC10+Svishtov!AC10+Rosica!AC10+Gabrovo!AC10+Plachkovci!AC10+Sevlievo!AC10+Bqla!AC10+Dunav_Ruse!AC10+Silistra!AC10+Tutrakan!AC10+Seslav!AC10+Karakuz!AC10+Razgrad!AC10+Voden!AC10</f>
        <v>104304</v>
      </c>
      <c r="AD10" s="167">
        <f>Bujnovci!AD10+Elena!AD10+Bolqrka!AD10+Gorna!AD10+Svishtov!AD10+Rosica!AD10+Gabrovo!AD10+Plachkovci!AD10+Sevlievo!AD10+Bqla!AD10+Dunav_Ruse!AD10+Silistra!AD10+Tutrakan!AD10+Seslav!AD10+Karakuz!AD10+Razgrad!AD10+Voden!AD10</f>
        <v>95916</v>
      </c>
      <c r="AE10" s="167">
        <f>Bujnovci!AE10+Elena!AE10+Bolqrka!AE10+Gorna!AE10+Svishtov!AE10+Rosica!AE10+Gabrovo!AE10+Plachkovci!AE10+Sevlievo!AE10+Bqla!AE10+Dunav_Ruse!AE10+Silistra!AE10+Tutrakan!AE10+Seslav!AE10+Karakuz!AE10+Razgrad!AE10+Voden!AE10</f>
        <v>42755</v>
      </c>
      <c r="AF10" s="167">
        <f>Bujnovci!AF10+Elena!AF10+Bolqrka!AF10+Gorna!AF10+Svishtov!AF10+Rosica!AF10+Gabrovo!AF10+Plachkovci!AF10+Sevlievo!AF10+Bqla!AF10+Dunav_Ruse!AF10+Silistra!AF10+Tutrakan!AF10+Seslav!AF10+Karakuz!AF10+Razgrad!AF10+Voden!AF10</f>
        <v>9499</v>
      </c>
      <c r="AG10" s="167">
        <f>Bujnovci!AG10+Elena!AG10+Bolqrka!AG10+Gorna!AG10+Svishtov!AG10+Rosica!AG10+Gabrovo!AG10+Plachkovci!AG10+Sevlievo!AG10+Bqla!AG10+Dunav_Ruse!AG10+Silistra!AG10+Tutrakan!AG10+Seslav!AG10+Karakuz!AG10+Razgrad!AG10+Voden!AG10</f>
        <v>1841</v>
      </c>
      <c r="AH10" s="167">
        <f>Bujnovci!AH10+Elena!AH10+Bolqrka!AH10+Gorna!AH10+Svishtov!AH10+Rosica!AH10+Gabrovo!AH10+Plachkovci!AH10+Sevlievo!AH10+Bqla!AH10+Dunav_Ruse!AH10+Silistra!AH10+Tutrakan!AH10+Seslav!AH10+Karakuz!AH10+Razgrad!AH10+Voden!AH10</f>
        <v>41821</v>
      </c>
      <c r="AI10" s="166"/>
      <c r="AJ10" s="167" t="s">
        <v>19</v>
      </c>
      <c r="AK10" s="165">
        <f>Bujnovci!AK10+Elena!AK10+Bolqrka!AK10+Gorna!AK10+Svishtov!AK10+Rosica!AK10+Gabrovo!AK10+Plachkovci!AK10+Sevlievo!AK10+Bqla!AK10+Dunav_Ruse!AK10+Silistra!AK10+Tutrakan!AK10+Seslav!AK10+Karakuz!AK10+Razgrad!AK10+Voden!AK10</f>
        <v>208.47199999999998</v>
      </c>
      <c r="AL10" s="167">
        <f>Bujnovci!AL10+Elena!AL10+Bolqrka!AL10+Gorna!AL10+Svishtov!AL10+Rosica!AL10+Gabrovo!AL10+Plachkovci!AL10+Sevlievo!AL10+Bqla!AL10+Dunav_Ruse!AL10+Silistra!AL10+Tutrakan!AL10+Seslav!AL10+Karakuz!AL10+Razgrad!AL10+Voden!AL10</f>
        <v>14028</v>
      </c>
      <c r="AM10" s="167">
        <f>Bujnovci!AM10+Elena!AM10+Bolqrka!AM10+Gorna!AM10+Svishtov!AM10+Rosica!AM10+Gabrovo!AM10+Plachkovci!AM10+Sevlievo!AM10+Bqla!AM10+Dunav_Ruse!AM10+Silistra!AM10+Tutrakan!AM10+Seslav!AM10+Karakuz!AM10+Razgrad!AM10+Voden!AM10</f>
        <v>13044</v>
      </c>
      <c r="AN10" s="167">
        <f>Bujnovci!AN10+Elena!AN10+Bolqrka!AN10+Gorna!AN10+Svishtov!AN10+Rosica!AN10+Gabrovo!AN10+Plachkovci!AN10+Sevlievo!AN10+Bqla!AN10+Dunav_Ruse!AN10+Silistra!AN10+Tutrakan!AN10+Seslav!AN10+Karakuz!AN10+Razgrad!AN10+Voden!AN10</f>
        <v>969</v>
      </c>
      <c r="AO10" s="167">
        <f>Bujnovci!AO10+Elena!AO10+Bolqrka!AO10+Gorna!AO10+Svishtov!AO10+Rosica!AO10+Gabrovo!AO10+Plachkovci!AO10+Sevlievo!AO10+Bqla!AO10+Dunav_Ruse!AO10+Silistra!AO10+Tutrakan!AO10+Seslav!AO10+Karakuz!AO10+Razgrad!AO10+Voden!AO10</f>
        <v>527</v>
      </c>
      <c r="AP10" s="167">
        <f>Bujnovci!AP10+Elena!AP10+Bolqrka!AP10+Gorna!AP10+Svishtov!AP10+Rosica!AP10+Gabrovo!AP10+Plachkovci!AP10+Sevlievo!AP10+Bqla!AP10+Dunav_Ruse!AP10+Silistra!AP10+Tutrakan!AP10+Seslav!AP10+Karakuz!AP10+Razgrad!AP10+Voden!AP10</f>
        <v>32</v>
      </c>
      <c r="AQ10" s="167">
        <f>Bujnovci!AQ10+Elena!AQ10+Bolqrka!AQ10+Gorna!AQ10+Svishtov!AQ10+Rosica!AQ10+Gabrovo!AQ10+Plachkovci!AQ10+Sevlievo!AQ10+Bqla!AQ10+Dunav_Ruse!AQ10+Silistra!AQ10+Tutrakan!AQ10+Seslav!AQ10+Karakuz!AQ10+Razgrad!AQ10+Voden!AQ10</f>
        <v>11516</v>
      </c>
      <c r="AR10" s="162"/>
      <c r="AS10" s="162"/>
    </row>
    <row r="11" spans="1:50" ht="12">
      <c r="A11" s="170" t="s">
        <v>20</v>
      </c>
      <c r="B11" s="161">
        <f t="shared" ref="B11:H11" si="0">B10/B9*100</f>
        <v>90.398414659506528</v>
      </c>
      <c r="C11" s="161">
        <f t="shared" si="0"/>
        <v>92.386953995620104</v>
      </c>
      <c r="D11" s="161">
        <f t="shared" si="0"/>
        <v>98.772057296131294</v>
      </c>
      <c r="E11" s="161">
        <f t="shared" si="0"/>
        <v>94.322063847331833</v>
      </c>
      <c r="F11" s="161">
        <f t="shared" si="0"/>
        <v>66.835514056144433</v>
      </c>
      <c r="G11" s="161">
        <f t="shared" si="0"/>
        <v>59.907559266438049</v>
      </c>
      <c r="H11" s="161">
        <f t="shared" si="0"/>
        <v>117.61772965246618</v>
      </c>
      <c r="I11" s="162"/>
      <c r="J11" s="170" t="s">
        <v>20</v>
      </c>
      <c r="K11" s="161">
        <f t="shared" ref="K11:Q11" si="1">K10/K9*100</f>
        <v>104.57160589910055</v>
      </c>
      <c r="L11" s="161">
        <f t="shared" si="1"/>
        <v>124.65691225664169</v>
      </c>
      <c r="M11" s="161">
        <f t="shared" si="1"/>
        <v>135.64611102088298</v>
      </c>
      <c r="N11" s="161">
        <f t="shared" si="1"/>
        <v>196.9539534552701</v>
      </c>
      <c r="O11" s="161">
        <f t="shared" si="1"/>
        <v>69.766501839151701</v>
      </c>
      <c r="P11" s="161">
        <f t="shared" si="1"/>
        <v>39.646099577863872</v>
      </c>
      <c r="Q11" s="161">
        <f t="shared" si="1"/>
        <v>170.11470324957844</v>
      </c>
      <c r="R11" s="170" t="s">
        <v>20</v>
      </c>
      <c r="S11" s="161">
        <f t="shared" ref="S11:Y11" si="2">S10/S9*100</f>
        <v>83.883147910324951</v>
      </c>
      <c r="T11" s="161">
        <f t="shared" si="2"/>
        <v>80.776441880026056</v>
      </c>
      <c r="U11" s="161">
        <f t="shared" si="2"/>
        <v>85.891629945192435</v>
      </c>
      <c r="V11" s="161">
        <f t="shared" si="2"/>
        <v>77.426724682272706</v>
      </c>
      <c r="W11" s="161">
        <f t="shared" si="2"/>
        <v>66.59108176027118</v>
      </c>
      <c r="X11" s="161">
        <f t="shared" si="2"/>
        <v>71.95549850235345</v>
      </c>
      <c r="Y11" s="161">
        <f t="shared" si="2"/>
        <v>98.151884100354351</v>
      </c>
      <c r="Z11" s="162"/>
      <c r="AA11" s="170" t="s">
        <v>20</v>
      </c>
      <c r="AB11" s="161">
        <f t="shared" ref="AB11:AH11" si="3">AB10/AB9*100</f>
        <v>61.623262007246126</v>
      </c>
      <c r="AC11" s="161">
        <f t="shared" si="3"/>
        <v>56.85381009484356</v>
      </c>
      <c r="AD11" s="161">
        <f t="shared" si="3"/>
        <v>58.114003199069366</v>
      </c>
      <c r="AE11" s="161">
        <f t="shared" si="3"/>
        <v>59.839048285514338</v>
      </c>
      <c r="AF11" s="161">
        <f t="shared" si="3"/>
        <v>31.518871837411861</v>
      </c>
      <c r="AG11" s="161">
        <f t="shared" si="3"/>
        <v>49.119530416221984</v>
      </c>
      <c r="AH11" s="161">
        <f t="shared" si="3"/>
        <v>70.188894576518663</v>
      </c>
      <c r="AI11" s="169"/>
      <c r="AJ11" s="200" t="s">
        <v>20</v>
      </c>
      <c r="AK11" s="161">
        <f t="shared" ref="AK11:AQ11" si="4">AK10/AK9*100</f>
        <v>57.700525878771103</v>
      </c>
      <c r="AL11" s="161">
        <f t="shared" si="4"/>
        <v>116.55034895314058</v>
      </c>
      <c r="AM11" s="161">
        <f t="shared" si="4"/>
        <v>141.61328845945064</v>
      </c>
      <c r="AN11" s="161">
        <f t="shared" si="4"/>
        <v>135.71428571428572</v>
      </c>
      <c r="AO11" s="161">
        <f t="shared" si="4"/>
        <v>25.059438896814072</v>
      </c>
      <c r="AP11" s="161">
        <f t="shared" si="4"/>
        <v>4.8929663608562688</v>
      </c>
      <c r="AQ11" s="161">
        <f t="shared" si="4"/>
        <v>200.87214372928659</v>
      </c>
      <c r="AR11" s="162"/>
      <c r="AS11" s="162"/>
    </row>
    <row r="12" spans="1:50" ht="12">
      <c r="A12" s="170" t="s">
        <v>11</v>
      </c>
      <c r="B12" s="167"/>
      <c r="C12" s="167"/>
      <c r="D12" s="167"/>
      <c r="E12" s="167"/>
      <c r="F12" s="167"/>
      <c r="G12" s="167"/>
      <c r="H12" s="167"/>
      <c r="I12" s="162"/>
      <c r="J12" s="170" t="s">
        <v>11</v>
      </c>
      <c r="K12" s="167"/>
      <c r="L12" s="167"/>
      <c r="M12" s="167"/>
      <c r="N12" s="167"/>
      <c r="O12" s="167"/>
      <c r="P12" s="167"/>
      <c r="Q12" s="167"/>
      <c r="R12" s="170" t="s">
        <v>11</v>
      </c>
      <c r="S12" s="161"/>
      <c r="T12" s="161"/>
      <c r="U12" s="161"/>
      <c r="V12" s="161"/>
      <c r="W12" s="161"/>
      <c r="X12" s="161"/>
      <c r="Y12" s="161"/>
      <c r="Z12" s="162"/>
      <c r="AA12" s="170" t="s">
        <v>11</v>
      </c>
      <c r="AB12" s="161"/>
      <c r="AC12" s="161"/>
      <c r="AD12" s="161"/>
      <c r="AE12" s="161"/>
      <c r="AF12" s="161"/>
      <c r="AG12" s="161"/>
      <c r="AH12" s="161"/>
      <c r="AI12" s="171"/>
      <c r="AJ12" s="161" t="s">
        <v>11</v>
      </c>
      <c r="AK12" s="170"/>
      <c r="AL12" s="161"/>
      <c r="AM12" s="161"/>
      <c r="AN12" s="161"/>
      <c r="AO12" s="161"/>
      <c r="AP12" s="161"/>
      <c r="AQ12" s="161"/>
      <c r="AR12" s="162"/>
      <c r="AS12" s="162"/>
    </row>
    <row r="13" spans="1:50" ht="12">
      <c r="A13" s="170" t="s">
        <v>18</v>
      </c>
      <c r="B13" s="163">
        <f>Bujnovci!B13+Elena!B13+Bolqrka!B13+Gorna!B13+Svishtov!B13+Rosica!B13+Gabrovo!B13+Plachkovci!B13+Sevlievo!B13+Bqla!B13+Dunav_Ruse!B13+Silistra!B13+Tutrakan!B13+Seslav!B13+Karakuz!B13+Razgrad!B13+Voden!B13</f>
        <v>962.57</v>
      </c>
      <c r="C13" s="161">
        <f>Bujnovci!C13+Elena!C13+Bolqrka!C13+Gorna!C13+Svishtov!C13+Rosica!C13+Gabrovo!C13+Plachkovci!C13+Sevlievo!C13+Bqla!C13+Dunav_Ruse!C13+Silistra!C13+Tutrakan!C13+Seslav!C13+Karakuz!C13+Razgrad!C13+Voden!C13</f>
        <v>62561.5</v>
      </c>
      <c r="D13" s="161">
        <f>Bujnovci!D13+Elena!D13+Bolqrka!D13+Gorna!D13+Svishtov!D13+Rosica!D13+Gabrovo!D13+Plachkovci!D13+Sevlievo!D13+Bqla!D13+Dunav_Ruse!D13+Silistra!D13+Tutrakan!D13+Seslav!D13+Karakuz!D13+Razgrad!D13+Voden!D13</f>
        <v>47756</v>
      </c>
      <c r="E13" s="161">
        <f>Bujnovci!E13+Elena!E13+Bolqrka!E13+Gorna!E13+Svishtov!E13+Rosica!E13+Gabrovo!E13+Plachkovci!E13+Sevlievo!E13+Bqla!E13+Dunav_Ruse!E13+Silistra!E13+Tutrakan!E13+Seslav!E13+Karakuz!E13+Razgrad!E13+Voden!E13</f>
        <v>14036</v>
      </c>
      <c r="F13" s="161">
        <f>Bujnovci!F13+Elena!F13+Bolqrka!F13+Gorna!F13+Svishtov!F13+Rosica!F13+Gabrovo!F13+Plachkovci!F13+Sevlievo!F13+Bqla!F13+Dunav_Ruse!F13+Silistra!F13+Tutrakan!F13+Seslav!F13+Karakuz!F13+Razgrad!F13+Voden!F13</f>
        <v>16973.5</v>
      </c>
      <c r="G13" s="161">
        <f>Bujnovci!G13+Elena!G13+Bolqrka!G13+Gorna!G13+Svishtov!G13+Rosica!G13+Gabrovo!G13+Plachkovci!G13+Sevlievo!G13+Bqla!G13+Dunav_Ruse!G13+Silistra!G13+Tutrakan!G13+Seslav!G13+Karakuz!G13+Razgrad!G13+Voden!G13</f>
        <v>3543</v>
      </c>
      <c r="H13" s="161">
        <f>Bujnovci!H13+Elena!H13+Bolqrka!H13+Gorna!H13+Svishtov!H13+Rosica!H13+Gabrovo!H13+Plachkovci!H13+Sevlievo!H13+Bqla!H13+Dunav_Ruse!H13+Silistra!H13+Tutrakan!H13+Seslav!H13+Karakuz!H13+Razgrad!H13+Voden!H13</f>
        <v>13034</v>
      </c>
      <c r="I13" s="162"/>
      <c r="J13" s="170" t="s">
        <v>18</v>
      </c>
      <c r="K13" s="163">
        <f>Bujnovci!K13+Elena!K13+Bolqrka!K13+Gorna!K13+Svishtov!K13+Rosica!K13+Gabrovo!K13+Plachkovci!K13+Sevlievo!K13+Bqla!K13+Dunav_Ruse!K13+Silistra!K13+Tutrakan!K13+Seslav!K13+Karakuz!K13+Razgrad!K13+Voden!K13</f>
        <v>638.93999999999994</v>
      </c>
      <c r="L13" s="161">
        <f>Bujnovci!L13+Elena!L13+Bolqrka!L13+Gorna!L13+Svishtov!L13+Rosica!L13+Gabrovo!L13+Plachkovci!L13+Sevlievo!L13+Bqla!L13+Dunav_Ruse!L13+Silistra!L13+Tutrakan!L13+Seslav!L13+Karakuz!L13+Razgrad!L13+Voden!L13</f>
        <v>36381</v>
      </c>
      <c r="M13" s="161">
        <f>Bujnovci!M13+Elena!M13+Bolqrka!M13+Gorna!M13+Svishtov!M13+Rosica!M13+Gabrovo!M13+Plachkovci!M13+Sevlievo!M13+Bqla!M13+Dunav_Ruse!M13+Silistra!M13+Tutrakan!M13+Seslav!M13+Karakuz!M13+Razgrad!M13+Voden!M13</f>
        <v>27587</v>
      </c>
      <c r="N13" s="161">
        <f>Bujnovci!N13+Elena!N13+Bolqrka!N13+Gorna!N13+Svishtov!N13+Rosica!N13+Gabrovo!N13+Plachkovci!N13+Sevlievo!N13+Bqla!N13+Dunav_Ruse!N13+Silistra!N13+Tutrakan!N13+Seslav!N13+Karakuz!N13+Razgrad!N13+Voden!N13</f>
        <v>5977.5</v>
      </c>
      <c r="O13" s="161">
        <f>Bujnovci!O13+Elena!O13+Bolqrka!O13+Gorna!O13+Svishtov!O13+Rosica!O13+Gabrovo!O13+Plachkovci!O13+Sevlievo!O13+Bqla!O13+Dunav_Ruse!O13+Silistra!O13+Tutrakan!O13+Seslav!O13+Karakuz!O13+Razgrad!O13+Voden!O13</f>
        <v>11877.5</v>
      </c>
      <c r="P13" s="161">
        <f>Bujnovci!P13+Elena!P13+Bolqrka!P13+Gorna!P13+Svishtov!P13+Rosica!P13+Gabrovo!P13+Plachkovci!P13+Sevlievo!P13+Bqla!P13+Dunav_Ruse!P13+Silistra!P13+Tutrakan!P13+Seslav!P13+Karakuz!P13+Razgrad!P13+Voden!P13</f>
        <v>2480</v>
      </c>
      <c r="Q13" s="161">
        <f>Bujnovci!Q13+Elena!Q13+Bolqrka!Q13+Gorna!Q13+Svishtov!Q13+Rosica!Q13+Gabrovo!Q13+Plachkovci!Q13+Sevlievo!Q13+Bqla!Q13+Dunav_Ruse!Q13+Silistra!Q13+Tutrakan!Q13+Seslav!Q13+Karakuz!Q13+Razgrad!Q13+Voden!Q13</f>
        <v>7102.5</v>
      </c>
      <c r="R13" s="170" t="s">
        <v>18</v>
      </c>
      <c r="S13" s="163">
        <f>Bujnovci!S13+Elena!S13+Bolqrka!S13+Gorna!S13+Svishtov!S13+Rosica!S13+Gabrovo!S13+Plachkovci!S13+Sevlievo!S13+Bqla!S13+Dunav_Ruse!S13+Silistra!S13+Tutrakan!S13+Seslav!S13+Karakuz!S13+Razgrad!S13+Voden!S13</f>
        <v>237.13</v>
      </c>
      <c r="T13" s="161">
        <f>Bujnovci!T13+Elena!T13+Bolqrka!T13+Gorna!T13+Svishtov!T13+Rosica!T13+Gabrovo!T13+Plachkovci!T13+Sevlievo!T13+Bqla!T13+Dunav_Ruse!T13+Silistra!T13+Tutrakan!T13+Seslav!T13+Karakuz!T13+Razgrad!T13+Voden!T13</f>
        <v>20640.5</v>
      </c>
      <c r="U13" s="161">
        <f>Bujnovci!U13+Elena!U13+Bolqrka!U13+Gorna!U13+Svishtov!U13+Rosica!U13+Gabrovo!U13+Plachkovci!U13+Sevlievo!U13+Bqla!U13+Dunav_Ruse!U13+Silistra!U13+Tutrakan!U13+Seslav!U13+Karakuz!U13+Razgrad!U13+Voden!U13</f>
        <v>15859</v>
      </c>
      <c r="V13" s="161">
        <f>Bujnovci!V13+Elena!V13+Bolqrka!V13+Gorna!V13+Svishtov!V13+Rosica!V13+Gabrovo!V13+Plachkovci!V13+Sevlievo!V13+Bqla!V13+Dunav_Ruse!V13+Silistra!V13+Tutrakan!V13+Seslav!V13+Karakuz!V13+Razgrad!V13+Voden!V13</f>
        <v>7624.5</v>
      </c>
      <c r="W13" s="161">
        <f>Bujnovci!W13+Elena!W13+Bolqrka!W13+Gorna!W13+Svishtov!W13+Rosica!W13+Gabrovo!W13+Plachkovci!W13+Sevlievo!W13+Bqla!W13+Dunav_Ruse!W13+Silistra!W13+Tutrakan!W13+Seslav!W13+Karakuz!W13+Razgrad!W13+Voden!W13</f>
        <v>3753</v>
      </c>
      <c r="X13" s="161">
        <f>Bujnovci!X13+Elena!X13+Bolqrka!X13+Gorna!X13+Svishtov!X13+Rosica!X13+Gabrovo!X13+Plachkovci!X13+Sevlievo!X13+Bqla!X13+Dunav_Ruse!X13+Silistra!X13+Tutrakan!X13+Seslav!X13+Karakuz!X13+Razgrad!X13+Voden!X13</f>
        <v>813</v>
      </c>
      <c r="Y13" s="161">
        <f>Bujnovci!Y13+Elena!Y13+Bolqrka!Y13+Gorna!Y13+Svishtov!Y13+Rosica!Y13+Gabrovo!Y13+Plachkovci!Y13+Sevlievo!Y13+Bqla!Y13+Dunav_Ruse!Y13+Silistra!Y13+Tutrakan!Y13+Seslav!Y13+Karakuz!Y13+Razgrad!Y13+Voden!Y13</f>
        <v>3648.5</v>
      </c>
      <c r="Z13" s="162"/>
      <c r="AA13" s="170" t="s">
        <v>18</v>
      </c>
      <c r="AB13" s="163">
        <f>Bujnovci!AB13+Elena!AB13+Bolqrka!AB13+Gorna!AB13+Svishtov!AB13+Rosica!AB13+Gabrovo!AB13+Plachkovci!AB13+Sevlievo!AB13+Bqla!AB13+Dunav_Ruse!AB13+Silistra!AB13+Tutrakan!AB13+Seslav!AB13+Karakuz!AB13+Razgrad!AB13+Voden!AB13</f>
        <v>236.27999999999997</v>
      </c>
      <c r="AC13" s="161">
        <f>Bujnovci!AC13+Elena!AC13+Bolqrka!AC13+Gorna!AC13+Svishtov!AC13+Rosica!AC13+Gabrovo!AC13+Plachkovci!AC13+Sevlievo!AC13+Bqla!AC13+Dunav_Ruse!AC13+Silistra!AC13+Tutrakan!AC13+Seslav!AC13+Karakuz!AC13+Razgrad!AC13+Voden!AC13</f>
        <v>20446</v>
      </c>
      <c r="AD13" s="161">
        <f>Bujnovci!AD13+Elena!AD13+Bolqrka!AD13+Gorna!AD13+Svishtov!AD13+Rosica!AD13+Gabrovo!AD13+Plachkovci!AD13+Sevlievo!AD13+Bqla!AD13+Dunav_Ruse!AD13+Silistra!AD13+Tutrakan!AD13+Seslav!AD13+Karakuz!AD13+Razgrad!AD13+Voden!AD13</f>
        <v>15701</v>
      </c>
      <c r="AE13" s="161">
        <f>Bujnovci!AE13+Elena!AE13+Bolqrka!AE13+Gorna!AE13+Svishtov!AE13+Rosica!AE13+Gabrovo!AE13+Plachkovci!AE13+Sevlievo!AE13+Bqla!AE13+Dunav_Ruse!AE13+Silistra!AE13+Tutrakan!AE13+Seslav!AE13+Karakuz!AE13+Razgrad!AE13+Voden!AE13</f>
        <v>7533.5</v>
      </c>
      <c r="AF13" s="161">
        <f>Bujnovci!AF13+Elena!AF13+Bolqrka!AF13+Gorna!AF13+Svishtov!AF13+Rosica!AF13+Gabrovo!AF13+Plachkovci!AF13+Sevlievo!AF13+Bqla!AF13+Dunav_Ruse!AF13+Silistra!AF13+Tutrakan!AF13+Seslav!AF13+Karakuz!AF13+Razgrad!AF13+Voden!AF13</f>
        <v>3730.5</v>
      </c>
      <c r="AG13" s="161">
        <f>Bujnovci!AG13+Elena!AG13+Bolqrka!AG13+Gorna!AG13+Svishtov!AG13+Rosica!AG13+Gabrovo!AG13+Plachkovci!AG13+Sevlievo!AG13+Bqla!AG13+Dunav_Ruse!AG13+Silistra!AG13+Tutrakan!AG13+Seslav!AG13+Karakuz!AG13+Razgrad!AG13+Voden!AG13</f>
        <v>811</v>
      </c>
      <c r="AH13" s="161">
        <f>Bujnovci!AH13+Elena!AH13+Bolqrka!AH13+Gorna!AH13+Svishtov!AH13+Rosica!AH13+Gabrovo!AH13+Plachkovci!AH13+Sevlievo!AH13+Bqla!AH13+Dunav_Ruse!AH13+Silistra!AH13+Tutrakan!AH13+Seslav!AH13+Karakuz!AH13+Razgrad!AH13+Voden!AH13</f>
        <v>3606.5</v>
      </c>
      <c r="AI13" s="166"/>
      <c r="AJ13" s="161" t="s">
        <v>18</v>
      </c>
      <c r="AK13" s="163">
        <f>Bujnovci!AK13+Elena!AK13+Bolqrka!AK13+Gorna!AK13+Svishtov!AK13+Rosica!AK13+Gabrovo!AK13+Plachkovci!AK13+Sevlievo!AK13+Bqla!AK13+Dunav_Ruse!AK13+Silistra!AK13+Tutrakan!AK13+Seslav!AK13+Karakuz!AK13+Razgrad!AK13+Voden!AK13</f>
        <v>86.5</v>
      </c>
      <c r="AL13" s="161">
        <f>Bujnovci!AL13+Elena!AL13+Bolqrka!AL13+Gorna!AL13+Svishtov!AL13+Rosica!AL13+Gabrovo!AL13+Plachkovci!AL13+Sevlievo!AL13+Bqla!AL13+Dunav_Ruse!AL13+Silistra!AL13+Tutrakan!AL13+Seslav!AL13+Karakuz!AL13+Razgrad!AL13+Voden!AL13</f>
        <v>5540</v>
      </c>
      <c r="AM13" s="161">
        <f>Bujnovci!AM13+Elena!AM13+Bolqrka!AM13+Gorna!AM13+Svishtov!AM13+Rosica!AM13+Gabrovo!AM13+Plachkovci!AM13+Sevlievo!AM13+Bqla!AM13+Dunav_Ruse!AM13+Silistra!AM13+Tutrakan!AM13+Seslav!AM13+Karakuz!AM13+Razgrad!AM13+Voden!AM13</f>
        <v>4310</v>
      </c>
      <c r="AN13" s="161">
        <f>Bujnovci!AN13+Elena!AN13+Bolqrka!AN13+Gorna!AN13+Svishtov!AN13+Rosica!AN13+Gabrovo!AN13+Plachkovci!AN13+Sevlievo!AN13+Bqla!AN13+Dunav_Ruse!AN13+Silistra!AN13+Tutrakan!AN13+Seslav!AN13+Karakuz!AN13+Razgrad!AN13+Voden!AN13</f>
        <v>434</v>
      </c>
      <c r="AO13" s="161">
        <f>Bujnovci!AO13+Elena!AO13+Bolqrka!AO13+Gorna!AO13+Svishtov!AO13+Rosica!AO13+Gabrovo!AO13+Plachkovci!AO13+Sevlievo!AO13+Bqla!AO13+Dunav_Ruse!AO13+Silistra!AO13+Tutrakan!AO13+Seslav!AO13+Karakuz!AO13+Razgrad!AO13+Voden!AO13</f>
        <v>1343</v>
      </c>
      <c r="AP13" s="161">
        <f>Bujnovci!AP13+Elena!AP13+Bolqrka!AP13+Gorna!AP13+Svishtov!AP13+Rosica!AP13+Gabrovo!AP13+Plachkovci!AP13+Sevlievo!AP13+Bqla!AP13+Dunav_Ruse!AP13+Silistra!AP13+Tutrakan!AP13+Seslav!AP13+Karakuz!AP13+Razgrad!AP13+Voden!AP13</f>
        <v>250</v>
      </c>
      <c r="AQ13" s="161">
        <f>Bujnovci!AQ13+Elena!AQ13+Bolqrka!AQ13+Gorna!AQ13+Svishtov!AQ13+Rosica!AQ13+Gabrovo!AQ13+Plachkovci!AQ13+Sevlievo!AQ13+Bqla!AQ13+Dunav_Ruse!AQ13+Silistra!AQ13+Tutrakan!AQ13+Seslav!AQ13+Karakuz!AQ13+Razgrad!AQ13+Voden!AQ13</f>
        <v>2283</v>
      </c>
      <c r="AR13" s="162"/>
      <c r="AS13" s="162"/>
    </row>
    <row r="14" spans="1:50" ht="12">
      <c r="A14" s="172" t="s">
        <v>19</v>
      </c>
      <c r="B14" s="163">
        <f>Bujnovci!B14+Elena!B14+Bolqrka!B14+Gorna!B14+Svishtov!B14+Rosica!B14+Gabrovo!B14+Plachkovci!B14+Sevlievo!B14+Bqla!B14+Dunav_Ruse!B14+Silistra!B14+Tutrakan!B14+Seslav!B14+Karakuz!B14+Razgrad!B14+Voden!B14</f>
        <v>990.25</v>
      </c>
      <c r="C14" s="161">
        <f>Bujnovci!C14+Elena!C14+Bolqrka!C14+Gorna!C14+Svishtov!C14+Rosica!C14+Gabrovo!C14+Plachkovci!C14+Sevlievo!C14+Bqla!C14+Dunav_Ruse!C14+Silistra!C14+Tutrakan!C14+Seslav!C14+Karakuz!C14+Razgrad!C14+Voden!C14</f>
        <v>64340</v>
      </c>
      <c r="D14" s="161">
        <f>Bujnovci!D14+Elena!D14+Bolqrka!D14+Gorna!D14+Svishtov!D14+Rosica!D14+Gabrovo!D14+Plachkovci!D14+Sevlievo!D14+Bqla!D14+Dunav_Ruse!D14+Silistra!D14+Tutrakan!D14+Seslav!D14+Karakuz!D14+Razgrad!D14+Voden!D14</f>
        <v>55464</v>
      </c>
      <c r="E14" s="161">
        <f>Bujnovci!E14+Elena!E14+Bolqrka!E14+Gorna!E14+Svishtov!E14+Rosica!E14+Gabrovo!E14+Plachkovci!E14+Sevlievo!E14+Bqla!E14+Dunav_Ruse!E14+Silistra!E14+Tutrakan!E14+Seslav!E14+Karakuz!E14+Razgrad!E14+Voden!E14</f>
        <v>16965</v>
      </c>
      <c r="F14" s="161">
        <f>Bujnovci!F14+Elena!F14+Bolqrka!F14+Gorna!F14+Svishtov!F14+Rosica!F14+Gabrovo!F14+Plachkovci!F14+Sevlievo!F14+Bqla!F14+Dunav_Ruse!F14+Silistra!F14+Tutrakan!F14+Seslav!F14+Karakuz!F14+Razgrad!F14+Voden!F14</f>
        <v>8391</v>
      </c>
      <c r="G14" s="161">
        <f>Bujnovci!G14+Elena!G14+Bolqrka!G14+Gorna!G14+Svishtov!G14+Rosica!G14+Gabrovo!G14+Plachkovci!G14+Sevlievo!G14+Bqla!G14+Dunav_Ruse!G14+Silistra!G14+Tutrakan!G14+Seslav!G14+Karakuz!G14+Razgrad!G14+Voden!G14</f>
        <v>540</v>
      </c>
      <c r="H14" s="161">
        <f>Bujnovci!H14+Elena!H14+Bolqrka!H14+Gorna!H14+Svishtov!H14+Rosica!H14+Gabrovo!H14+Plachkovci!H14+Sevlievo!H14+Bqla!H14+Dunav_Ruse!H14+Silistra!H14+Tutrakan!H14+Seslav!H14+Karakuz!H14+Razgrad!H14+Voden!H14</f>
        <v>29568</v>
      </c>
      <c r="I14" s="162"/>
      <c r="J14" s="172" t="s">
        <v>19</v>
      </c>
      <c r="K14" s="163">
        <f>Bujnovci!K14+Elena!K14+Bolqrka!K14+Gorna!K14+Svishtov!K14+Rosica!K14+Gabrovo!K14+Plachkovci!K14+Sevlievo!K14+Bqla!K14+Dunav_Ruse!K14+Silistra!K14+Tutrakan!K14+Seslav!K14+Karakuz!K14+Razgrad!K14+Voden!K14</f>
        <v>730.55000000000018</v>
      </c>
      <c r="L14" s="161">
        <f>Bujnovci!L14+Elena!L14+Bolqrka!L14+Gorna!L14+Svishtov!L14+Rosica!L14+Gabrovo!L14+Plachkovci!L14+Sevlievo!L14+Bqla!L14+Dunav_Ruse!L14+Silistra!L14+Tutrakan!L14+Seslav!L14+Karakuz!L14+Razgrad!L14+Voden!L14</f>
        <v>45862</v>
      </c>
      <c r="M14" s="161">
        <f>Bujnovci!M14+Elena!M14+Bolqrka!M14+Gorna!M14+Svishtov!M14+Rosica!M14+Gabrovo!M14+Plachkovci!M14+Sevlievo!M14+Bqla!M14+Dunav_Ruse!M14+Silistra!M14+Tutrakan!M14+Seslav!M14+Karakuz!M14+Razgrad!M14+Voden!M14</f>
        <v>38996</v>
      </c>
      <c r="N14" s="161">
        <f>Bujnovci!N14+Elena!N14+Bolqrka!N14+Gorna!N14+Svishtov!N14+Rosica!N14+Gabrovo!N14+Plachkovci!N14+Sevlievo!N14+Bqla!N14+Dunav_Ruse!N14+Silistra!N14+Tutrakan!N14+Seslav!N14+Karakuz!N14+Razgrad!N14+Voden!N14</f>
        <v>12688</v>
      </c>
      <c r="O14" s="161">
        <f>Bujnovci!O14+Elena!O14+Bolqrka!O14+Gorna!O14+Svishtov!O14+Rosica!O14+Gabrovo!O14+Plachkovci!O14+Sevlievo!O14+Bqla!O14+Dunav_Ruse!O14+Silistra!O14+Tutrakan!O14+Seslav!O14+Karakuz!O14+Razgrad!O14+Voden!O14</f>
        <v>7298</v>
      </c>
      <c r="P14" s="161">
        <f>Bujnovci!P14+Elena!P14+Bolqrka!P14+Gorna!P14+Svishtov!P14+Rosica!P14+Gabrovo!P14+Plachkovci!P14+Sevlievo!P14+Bqla!P14+Dunav_Ruse!P14+Silistra!P14+Tutrakan!P14+Seslav!P14+Karakuz!P14+Razgrad!P14+Voden!P14</f>
        <v>527</v>
      </c>
      <c r="Q14" s="161">
        <f>Bujnovci!Q14+Elena!Q14+Bolqrka!Q14+Gorna!Q14+Svishtov!Q14+Rosica!Q14+Gabrovo!Q14+Plachkovci!Q14+Sevlievo!Q14+Bqla!Q14+Dunav_Ruse!Q14+Silistra!Q14+Tutrakan!Q14+Seslav!Q14+Karakuz!Q14+Razgrad!Q14+Voden!Q14</f>
        <v>18482</v>
      </c>
      <c r="R14" s="172" t="s">
        <v>19</v>
      </c>
      <c r="S14" s="163">
        <f>Bujnovci!S14+Elena!S14+Bolqrka!S14+Gorna!S14+Svishtov!S14+Rosica!S14+Gabrovo!S14+Plachkovci!S14+Sevlievo!S14+Bqla!S14+Dunav_Ruse!S14+Silistra!S14+Tutrakan!S14+Seslav!S14+Karakuz!S14+Razgrad!S14+Voden!S14</f>
        <v>120.20000000000002</v>
      </c>
      <c r="T14" s="161">
        <f>Bujnovci!T14+Elena!T14+Bolqrka!T14+Gorna!T14+Svishtov!T14+Rosica!T14+Gabrovo!T14+Plachkovci!T14+Sevlievo!T14+Bqla!T14+Dunav_Ruse!T14+Silistra!T14+Tutrakan!T14+Seslav!T14+Karakuz!T14+Razgrad!T14+Voden!T14</f>
        <v>8439</v>
      </c>
      <c r="U14" s="161">
        <f>Bujnovci!U14+Elena!U14+Bolqrka!U14+Gorna!U14+Svishtov!U14+Rosica!U14+Gabrovo!U14+Plachkovci!U14+Sevlievo!U14+Bqla!U14+Dunav_Ruse!U14+Silistra!U14+Tutrakan!U14+Seslav!U14+Karakuz!U14+Razgrad!U14+Voden!U14</f>
        <v>7166</v>
      </c>
      <c r="V14" s="161">
        <f>Bujnovci!V14+Elena!V14+Bolqrka!V14+Gorna!V14+Svishtov!V14+Rosica!V14+Gabrovo!V14+Plachkovci!V14+Sevlievo!V14+Bqla!V14+Dunav_Ruse!V14+Silistra!V14+Tutrakan!V14+Seslav!V14+Karakuz!V14+Razgrad!V14+Voden!V14</f>
        <v>3805</v>
      </c>
      <c r="W14" s="161">
        <f>Bujnovci!W14+Elena!W14+Bolqrka!W14+Gorna!W14+Svishtov!W14+Rosica!W14+Gabrovo!W14+Plachkovci!W14+Sevlievo!W14+Bqla!W14+Dunav_Ruse!W14+Silistra!W14+Tutrakan!W14+Seslav!W14+Karakuz!W14+Razgrad!W14+Voden!W14</f>
        <v>844</v>
      </c>
      <c r="X14" s="161">
        <f>Bujnovci!X14+Elena!X14+Bolqrka!X14+Gorna!X14+Svishtov!X14+Rosica!X14+Gabrovo!X14+Plachkovci!X14+Sevlievo!X14+Bqla!X14+Dunav_Ruse!X14+Silistra!X14+Tutrakan!X14+Seslav!X14+Karakuz!X14+Razgrad!X14+Voden!X14</f>
        <v>13</v>
      </c>
      <c r="Y14" s="161">
        <f>Bujnovci!Y14+Elena!Y14+Bolqrka!Y14+Gorna!Y14+Svishtov!Y14+Rosica!Y14+Gabrovo!Y14+Plachkovci!Y14+Sevlievo!Y14+Bqla!Y14+Dunav_Ruse!Y14+Silistra!Y14+Tutrakan!Y14+Seslav!Y14+Karakuz!Y14+Razgrad!Y14+Voden!Y14</f>
        <v>2504</v>
      </c>
      <c r="Z14" s="162"/>
      <c r="AA14" s="172" t="s">
        <v>19</v>
      </c>
      <c r="AB14" s="163">
        <f>Bujnovci!AB14+Elena!AB14+Bolqrka!AB14+Gorna!AB14+Svishtov!AB14+Rosica!AB14+Gabrovo!AB14+Plachkovci!AB14+Sevlievo!AB14+Bqla!AB14+Dunav_Ruse!AB14+Silistra!AB14+Tutrakan!AB14+Seslav!AB14+Karakuz!AB14+Razgrad!AB14+Voden!AB14</f>
        <v>116.6</v>
      </c>
      <c r="AC14" s="161">
        <f>Bujnovci!AC14+Elena!AC14+Bolqrka!AC14+Gorna!AC14+Svishtov!AC14+Rosica!AC14+Gabrovo!AC14+Plachkovci!AC14+Sevlievo!AC14+Bqla!AC14+Dunav_Ruse!AC14+Silistra!AC14+Tutrakan!AC14+Seslav!AC14+Karakuz!AC14+Razgrad!AC14+Voden!AC14</f>
        <v>8226</v>
      </c>
      <c r="AD14" s="161">
        <f>Bujnovci!AD14+Elena!AD14+Bolqrka!AD14+Gorna!AD14+Svishtov!AD14+Rosica!AD14+Gabrovo!AD14+Plachkovci!AD14+Sevlievo!AD14+Bqla!AD14+Dunav_Ruse!AD14+Silistra!AD14+Tutrakan!AD14+Seslav!AD14+Karakuz!AD14+Razgrad!AD14+Voden!AD14</f>
        <v>6976</v>
      </c>
      <c r="AE14" s="161">
        <f>Bujnovci!AE14+Elena!AE14+Bolqrka!AE14+Gorna!AE14+Svishtov!AE14+Rosica!AE14+Gabrovo!AE14+Plachkovci!AE14+Sevlievo!AE14+Bqla!AE14+Dunav_Ruse!AE14+Silistra!AE14+Tutrakan!AE14+Seslav!AE14+Karakuz!AE14+Razgrad!AE14+Voden!AE14</f>
        <v>3776</v>
      </c>
      <c r="AF14" s="161">
        <f>Bujnovci!AF14+Elena!AF14+Bolqrka!AF14+Gorna!AF14+Svishtov!AF14+Rosica!AF14+Gabrovo!AF14+Plachkovci!AF14+Sevlievo!AF14+Bqla!AF14+Dunav_Ruse!AF14+Silistra!AF14+Tutrakan!AF14+Seslav!AF14+Karakuz!AF14+Razgrad!AF14+Voden!AF14</f>
        <v>779</v>
      </c>
      <c r="AG14" s="161">
        <f>Bujnovci!AG14+Elena!AG14+Bolqrka!AG14+Gorna!AG14+Svishtov!AG14+Rosica!AG14+Gabrovo!AG14+Plachkovci!AG14+Sevlievo!AG14+Bqla!AG14+Dunav_Ruse!AG14+Silistra!AG14+Tutrakan!AG14+Seslav!AG14+Karakuz!AG14+Razgrad!AG14+Voden!AG14</f>
        <v>8</v>
      </c>
      <c r="AH14" s="161">
        <f>Bujnovci!AH14+Elena!AH14+Bolqrka!AH14+Gorna!AH14+Svishtov!AH14+Rosica!AH14+Gabrovo!AH14+Plachkovci!AH14+Sevlievo!AH14+Bqla!AH14+Dunav_Ruse!AH14+Silistra!AH14+Tutrakan!AH14+Seslav!AH14+Karakuz!AH14+Razgrad!AH14+Voden!AH14</f>
        <v>2413</v>
      </c>
      <c r="AI14" s="166"/>
      <c r="AJ14" s="161" t="s">
        <v>19</v>
      </c>
      <c r="AK14" s="163">
        <f>Bujnovci!AK14+Elena!AK14+Bolqrka!AK14+Gorna!AK14+Svishtov!AK14+Rosica!AK14+Gabrovo!AK14+Plachkovci!AK14+Sevlievo!AK14+Bqla!AK14+Dunav_Ruse!AK14+Silistra!AK14+Tutrakan!AK14+Seslav!AK14+Karakuz!AK14+Razgrad!AK14+Voden!AK14</f>
        <v>139.5</v>
      </c>
      <c r="AL14" s="161">
        <f>Bujnovci!AL14+Elena!AL14+Bolqrka!AL14+Gorna!AL14+Svishtov!AL14+Rosica!AL14+Gabrovo!AL14+Plachkovci!AL14+Sevlievo!AL14+Bqla!AL14+Dunav_Ruse!AL14+Silistra!AL14+Tutrakan!AL14+Seslav!AL14+Karakuz!AL14+Razgrad!AL14+Voden!AL14</f>
        <v>10039</v>
      </c>
      <c r="AM14" s="161">
        <f>Bujnovci!AM14+Elena!AM14+Bolqrka!AM14+Gorna!AM14+Svishtov!AM14+Rosica!AM14+Gabrovo!AM14+Plachkovci!AM14+Sevlievo!AM14+Bqla!AM14+Dunav_Ruse!AM14+Silistra!AM14+Tutrakan!AM14+Seslav!AM14+Karakuz!AM14+Razgrad!AM14+Voden!AM14</f>
        <v>9303</v>
      </c>
      <c r="AN14" s="161">
        <f>Bujnovci!AN14+Elena!AN14+Bolqrka!AN14+Gorna!AN14+Svishtov!AN14+Rosica!AN14+Gabrovo!AN14+Plachkovci!AN14+Sevlievo!AN14+Bqla!AN14+Dunav_Ruse!AN14+Silistra!AN14+Tutrakan!AN14+Seslav!AN14+Karakuz!AN14+Razgrad!AN14+Voden!AN14</f>
        <v>472</v>
      </c>
      <c r="AO14" s="161">
        <f>Bujnovci!AO14+Elena!AO14+Bolqrka!AO14+Gorna!AO14+Svishtov!AO14+Rosica!AO14+Gabrovo!AO14+Plachkovci!AO14+Sevlievo!AO14+Bqla!AO14+Dunav_Ruse!AO14+Silistra!AO14+Tutrakan!AO14+Seslav!AO14+Karakuz!AO14+Razgrad!AO14+Voden!AO14</f>
        <v>249</v>
      </c>
      <c r="AP14" s="161">
        <f>Bujnovci!AP14+Elena!AP14+Bolqrka!AP14+Gorna!AP14+Svishtov!AP14+Rosica!AP14+Gabrovo!AP14+Plachkovci!AP14+Sevlievo!AP14+Bqla!AP14+Dunav_Ruse!AP14+Silistra!AP14+Tutrakan!AP14+Seslav!AP14+Karakuz!AP14+Razgrad!AP14+Voden!AP14</f>
        <v>0</v>
      </c>
      <c r="AQ14" s="161">
        <f>Bujnovci!AQ14+Elena!AQ14+Bolqrka!AQ14+Gorna!AQ14+Svishtov!AQ14+Rosica!AQ14+Gabrovo!AQ14+Plachkovci!AQ14+Sevlievo!AQ14+Bqla!AQ14+Dunav_Ruse!AQ14+Silistra!AQ14+Tutrakan!AQ14+Seslav!AQ14+Karakuz!AQ14+Razgrad!AQ14+Voden!AQ14</f>
        <v>8582</v>
      </c>
      <c r="AR14" s="162"/>
      <c r="AS14" s="162"/>
      <c r="AX14" s="173"/>
    </row>
    <row r="15" spans="1:50" ht="12">
      <c r="A15" s="170" t="s">
        <v>20</v>
      </c>
      <c r="B15" s="161">
        <f t="shared" ref="B15:H15" si="5">B14/B13*100</f>
        <v>102.87563501875188</v>
      </c>
      <c r="C15" s="161">
        <f t="shared" si="5"/>
        <v>102.84280268216075</v>
      </c>
      <c r="D15" s="161">
        <f t="shared" si="5"/>
        <v>116.14038026635396</v>
      </c>
      <c r="E15" s="161">
        <f t="shared" si="5"/>
        <v>120.86776859504131</v>
      </c>
      <c r="F15" s="161">
        <f t="shared" si="5"/>
        <v>49.435885350693724</v>
      </c>
      <c r="G15" s="161">
        <f t="shared" si="5"/>
        <v>15.241320914479257</v>
      </c>
      <c r="H15" s="161">
        <f t="shared" si="5"/>
        <v>226.85284640171858</v>
      </c>
      <c r="I15" s="162"/>
      <c r="J15" s="170" t="s">
        <v>20</v>
      </c>
      <c r="K15" s="161">
        <f t="shared" ref="K15:Q15" si="6">K14/K13*100</f>
        <v>114.3378094969794</v>
      </c>
      <c r="L15" s="161">
        <f t="shared" si="6"/>
        <v>126.0603062037877</v>
      </c>
      <c r="M15" s="161">
        <f t="shared" si="6"/>
        <v>141.35643600246493</v>
      </c>
      <c r="N15" s="161">
        <f t="shared" si="6"/>
        <v>212.26265161020495</v>
      </c>
      <c r="O15" s="161">
        <f t="shared" si="6"/>
        <v>61.443906545990323</v>
      </c>
      <c r="P15" s="161">
        <f t="shared" si="6"/>
        <v>21.25</v>
      </c>
      <c r="Q15" s="161">
        <f t="shared" si="6"/>
        <v>260.21823301654348</v>
      </c>
      <c r="R15" s="170" t="s">
        <v>20</v>
      </c>
      <c r="S15" s="161">
        <f t="shared" ref="S15:Y15" si="7">S14/S13*100</f>
        <v>50.689495213595926</v>
      </c>
      <c r="T15" s="161">
        <f t="shared" si="7"/>
        <v>40.885637460332838</v>
      </c>
      <c r="U15" s="161">
        <f t="shared" si="7"/>
        <v>45.185698972192448</v>
      </c>
      <c r="V15" s="161">
        <f t="shared" si="7"/>
        <v>49.904911797494918</v>
      </c>
      <c r="W15" s="161">
        <f t="shared" si="7"/>
        <v>22.488675726085798</v>
      </c>
      <c r="X15" s="161">
        <f t="shared" si="7"/>
        <v>1.5990159901599015</v>
      </c>
      <c r="Y15" s="161">
        <f t="shared" si="7"/>
        <v>68.630944223653557</v>
      </c>
      <c r="Z15" s="162"/>
      <c r="AA15" s="170" t="s">
        <v>20</v>
      </c>
      <c r="AB15" s="161">
        <f t="shared" ref="AB15:AH15" si="8">AB14/AB13*100</f>
        <v>49.348230912476723</v>
      </c>
      <c r="AC15" s="161">
        <f t="shared" si="8"/>
        <v>40.232808373275944</v>
      </c>
      <c r="AD15" s="161">
        <f t="shared" si="8"/>
        <v>44.430291064263422</v>
      </c>
      <c r="AE15" s="161">
        <f t="shared" si="8"/>
        <v>50.122784894139507</v>
      </c>
      <c r="AF15" s="161">
        <f t="shared" si="8"/>
        <v>20.881919313764911</v>
      </c>
      <c r="AG15" s="161">
        <f t="shared" si="8"/>
        <v>0.98643649815043155</v>
      </c>
      <c r="AH15" s="161">
        <f t="shared" si="8"/>
        <v>66.906973520033276</v>
      </c>
      <c r="AI15" s="169"/>
      <c r="AJ15" s="200" t="s">
        <v>20</v>
      </c>
      <c r="AK15" s="161">
        <f t="shared" ref="AK15:AQ15" si="9">AK14/AK13*100</f>
        <v>161.27167630057804</v>
      </c>
      <c r="AL15" s="161">
        <f t="shared" si="9"/>
        <v>181.20938628158845</v>
      </c>
      <c r="AM15" s="161">
        <f t="shared" si="9"/>
        <v>215.84686774941994</v>
      </c>
      <c r="AN15" s="161">
        <f t="shared" si="9"/>
        <v>108.75576036866359</v>
      </c>
      <c r="AO15" s="161">
        <f t="shared" si="9"/>
        <v>18.540580789277737</v>
      </c>
      <c r="AP15" s="161">
        <f t="shared" si="9"/>
        <v>0</v>
      </c>
      <c r="AQ15" s="161">
        <f t="shared" si="9"/>
        <v>375.9088918090232</v>
      </c>
      <c r="AR15" s="162"/>
      <c r="AS15" s="162"/>
    </row>
    <row r="16" spans="1:50" ht="12">
      <c r="A16" s="160" t="s">
        <v>13</v>
      </c>
      <c r="B16" s="163">
        <f>Bujnovci!B16+Elena!B16+Bolqrka!B16+Gorna!B16+Svishtov!B16+Rosica!B16+Gabrovo!B16+Plachkovci!B16+Sevlievo!B16+Bqla!B16+Dunav_Ruse!B16+Silistra!B16+Tutrakan!B16+Seslav!B16+Karakuz!B16+Razgrad!B16+Voden!B16</f>
        <v>472.09999999999997</v>
      </c>
      <c r="C16" s="161">
        <f>Bujnovci!C16+Elena!C16+Bolqrka!C16+Gorna!C16+Svishtov!C16+Rosica!C16+Gabrovo!C16+Plachkovci!C16+Sevlievo!C16+Bqla!C16+Dunav_Ruse!C16+Silistra!C16+Tutrakan!C16+Seslav!C16+Karakuz!C16+Razgrad!C16+Voden!C16</f>
        <v>28088</v>
      </c>
      <c r="D16" s="161">
        <f>Bujnovci!D16+Elena!D16+Bolqrka!D16+Gorna!D16+Svishtov!D16+Rosica!D16+Gabrovo!D16+Plachkovci!D16+Sevlievo!D16+Bqla!D16+Dunav_Ruse!D16+Silistra!D16+Tutrakan!D16+Seslav!D16+Karakuz!D16+Razgrad!D16+Voden!D16</f>
        <v>23536</v>
      </c>
      <c r="E16" s="161">
        <f>Bujnovci!E16+Elena!E16+Bolqrka!E16+Gorna!E16+Svishtov!E16+Rosica!E16+Gabrovo!E16+Plachkovci!E16+Sevlievo!E16+Bqla!E16+Dunav_Ruse!E16+Silistra!E16+Tutrakan!E16+Seslav!E16+Karakuz!E16+Razgrad!E16+Voden!E16</f>
        <v>9266</v>
      </c>
      <c r="F16" s="161">
        <f>Bujnovci!F16+Elena!F16+Bolqrka!F16+Gorna!F16+Svishtov!F16+Rosica!F16+Gabrovo!F16+Plachkovci!F16+Sevlievo!F16+Bqla!F16+Dunav_Ruse!F16+Silistra!F16+Tutrakan!F16+Seslav!F16+Karakuz!F16+Razgrad!F16+Voden!F16</f>
        <v>4972</v>
      </c>
      <c r="G16" s="161">
        <f>Bujnovci!G16+Elena!G16+Bolqrka!G16+Gorna!G16+Svishtov!G16+Rosica!G16+Gabrovo!G16+Plachkovci!G16+Sevlievo!G16+Bqla!G16+Dunav_Ruse!G16+Silistra!G16+Tutrakan!G16+Seslav!G16+Karakuz!G16+Razgrad!G16+Voden!G16</f>
        <v>244</v>
      </c>
      <c r="H16" s="161">
        <f>Bujnovci!H16+Elena!H16+Bolqrka!H16+Gorna!H16+Svishtov!H16+Rosica!H16+Gabrovo!H16+Plachkovci!H16+Sevlievo!H16+Bqla!H16+Dunav_Ruse!H16+Silistra!H16+Tutrakan!H16+Seslav!H16+Karakuz!H16+Razgrad!H16+Voden!H16</f>
        <v>9054</v>
      </c>
      <c r="I16" s="162"/>
      <c r="J16" s="160" t="s">
        <v>13</v>
      </c>
      <c r="K16" s="163">
        <f>Bujnovci!K16+Elena!K16+Bolqrka!K16+Gorna!K16+Svishtov!K16+Rosica!K16+Gabrovo!K16+Plachkovci!K16+Sevlievo!K16+Bqla!K16+Dunav_Ruse!K16+Silistra!K16+Tutrakan!K16+Seslav!K16+Karakuz!K16+Razgrad!K16+Voden!K16</f>
        <v>421.7999999999999</v>
      </c>
      <c r="L16" s="161">
        <f>Bujnovci!L16+Elena!L16+Bolqrka!L16+Gorna!L16+Svishtov!L16+Rosica!L16+Gabrovo!L16+Plachkovci!L16+Sevlievo!L16+Bqla!L16+Dunav_Ruse!L16+Silistra!L16+Tutrakan!L16+Seslav!L16+Karakuz!L16+Razgrad!L16+Voden!L16</f>
        <v>24579</v>
      </c>
      <c r="M16" s="161">
        <f>Bujnovci!M16+Elena!M16+Bolqrka!M16+Gorna!M16+Svishtov!M16+Rosica!M16+Gabrovo!M16+Plachkovci!M16+Sevlievo!M16+Bqla!M16+Dunav_Ruse!M16+Silistra!M16+Tutrakan!M16+Seslav!M16+Karakuz!M16+Razgrad!M16+Voden!M16</f>
        <v>20550</v>
      </c>
      <c r="N16" s="161">
        <f>Bujnovci!N16+Elena!N16+Bolqrka!N16+Gorna!N16+Svishtov!N16+Rosica!N16+Gabrovo!N16+Plachkovci!N16+Sevlievo!N16+Bqla!N16+Dunav_Ruse!N16+Silistra!N16+Tutrakan!N16+Seslav!N16+Karakuz!N16+Razgrad!N16+Voden!N16</f>
        <v>7740</v>
      </c>
      <c r="O16" s="161">
        <f>Bujnovci!O16+Elena!O16+Bolqrka!O16+Gorna!O16+Svishtov!O16+Rosica!O16+Gabrovo!O16+Plachkovci!O16+Sevlievo!O16+Bqla!O16+Dunav_Ruse!O16+Silistra!O16+Tutrakan!O16+Seslav!O16+Karakuz!O16+Razgrad!O16+Voden!O16</f>
        <v>4700</v>
      </c>
      <c r="P16" s="161">
        <f>Bujnovci!P16+Elena!P16+Bolqrka!P16+Gorna!P16+Svishtov!P16+Rosica!P16+Gabrovo!P16+Plachkovci!P16+Sevlievo!P16+Bqla!P16+Dunav_Ruse!P16+Silistra!P16+Tutrakan!P16+Seslav!P16+Karakuz!P16+Razgrad!P16+Voden!P16</f>
        <v>244</v>
      </c>
      <c r="Q16" s="161">
        <f>Bujnovci!Q16+Elena!Q16+Bolqrka!Q16+Gorna!Q16+Svishtov!Q16+Rosica!Q16+Gabrovo!Q16+Plachkovci!Q16+Sevlievo!Q16+Bqla!Q16+Dunav_Ruse!Q16+Silistra!Q16+Tutrakan!Q16+Seslav!Q16+Karakuz!Q16+Razgrad!Q16+Voden!Q16</f>
        <v>7869</v>
      </c>
      <c r="R16" s="160" t="s">
        <v>13</v>
      </c>
      <c r="S16" s="163">
        <f>Bujnovci!S16+Elena!S16+Bolqrka!S16+Gorna!S16+Svishtov!S16+Rosica!S16+Gabrovo!S16+Plachkovci!S16+Sevlievo!S16+Bqla!S16+Dunav_Ruse!S16+Silistra!S16+Tutrakan!S16+Seslav!S16+Karakuz!S16+Razgrad!S16+Voden!S16</f>
        <v>40.499999999999993</v>
      </c>
      <c r="T16" s="161">
        <f>Bujnovci!T16+Elena!T16+Bolqrka!T16+Gorna!T16+Svishtov!T16+Rosica!T16+Gabrovo!T16+Plachkovci!T16+Sevlievo!T16+Bqla!T16+Dunav_Ruse!T16+Silistra!T16+Tutrakan!T16+Seslav!T16+Karakuz!T16+Razgrad!T16+Voden!T16</f>
        <v>2870</v>
      </c>
      <c r="U16" s="161">
        <f>Bujnovci!U16+Elena!U16+Bolqrka!U16+Gorna!U16+Svishtov!U16+Rosica!U16+Gabrovo!U16+Plachkovci!U16+Sevlievo!U16+Bqla!U16+Dunav_Ruse!U16+Silistra!U16+Tutrakan!U16+Seslav!U16+Karakuz!U16+Razgrad!U16+Voden!U16</f>
        <v>2453</v>
      </c>
      <c r="V16" s="161">
        <f>Bujnovci!V16+Elena!V16+Bolqrka!V16+Gorna!V16+Svishtov!V16+Rosica!V16+Gabrovo!V16+Plachkovci!V16+Sevlievo!V16+Bqla!V16+Dunav_Ruse!V16+Silistra!V16+Tutrakan!V16+Seslav!V16+Karakuz!V16+Razgrad!V16+Voden!V16</f>
        <v>1503</v>
      </c>
      <c r="W16" s="161">
        <f>Bujnovci!W16+Elena!W16+Bolqrka!W16+Gorna!W16+Svishtov!W16+Rosica!W16+Gabrovo!W16+Plachkovci!W16+Sevlievo!W16+Bqla!W16+Dunav_Ruse!W16+Silistra!W16+Tutrakan!W16+Seslav!W16+Karakuz!W16+Razgrad!W16+Voden!W16</f>
        <v>256</v>
      </c>
      <c r="X16" s="161">
        <f>Bujnovci!X16+Elena!X16+Bolqrka!X16+Gorna!X16+Svishtov!X16+Rosica!X16+Gabrovo!X16+Plachkovci!X16+Sevlievo!X16+Bqla!X16+Dunav_Ruse!X16+Silistra!X16+Tutrakan!X16+Seslav!X16+Karakuz!X16+Razgrad!X16+Voden!X16</f>
        <v>0</v>
      </c>
      <c r="Y16" s="161">
        <f>Bujnovci!Y16+Elena!Y16+Bolqrka!Y16+Gorna!Y16+Svishtov!Y16+Rosica!Y16+Gabrovo!Y16+Plachkovci!Y16+Sevlievo!Y16+Bqla!Y16+Dunav_Ruse!Y16+Silistra!Y16+Tutrakan!Y16+Seslav!Y16+Karakuz!Y16+Razgrad!Y16+Voden!Y16</f>
        <v>694</v>
      </c>
      <c r="Z16" s="162"/>
      <c r="AA16" s="160" t="s">
        <v>13</v>
      </c>
      <c r="AB16" s="163">
        <f>Bujnovci!AB16+Elena!AB16+Bolqrka!AB16+Gorna!AB16+Svishtov!AB16+Rosica!AB16+Gabrovo!AB16+Plachkovci!AB16+Sevlievo!AB16+Bqla!AB16+Dunav_Ruse!AB16+Silistra!AB16+Tutrakan!AB16+Seslav!AB16+Karakuz!AB16+Razgrad!AB16+Voden!AB16</f>
        <v>40.399999999999991</v>
      </c>
      <c r="AC16" s="161">
        <f>Bujnovci!AC16+Elena!AC16+Bolqrka!AC16+Gorna!AC16+Svishtov!AC16+Rosica!AC16+Gabrovo!AC16+Plachkovci!AC16+Sevlievo!AC16+Bqla!AC16+Dunav_Ruse!AC16+Silistra!AC16+Tutrakan!AC16+Seslav!AC16+Karakuz!AC16+Razgrad!AC16+Voden!AC16</f>
        <v>2880</v>
      </c>
      <c r="AD16" s="161">
        <f>Bujnovci!AD16+Elena!AD16+Bolqrka!AD16+Gorna!AD16+Svishtov!AD16+Rosica!AD16+Gabrovo!AD16+Plachkovci!AD16+Sevlievo!AD16+Bqla!AD16+Dunav_Ruse!AD16+Silistra!AD16+Tutrakan!AD16+Seslav!AD16+Karakuz!AD16+Razgrad!AD16+Voden!AD16</f>
        <v>2461</v>
      </c>
      <c r="AE16" s="161">
        <f>Bujnovci!AE16+Elena!AE16+Bolqrka!AE16+Gorna!AE16+Svishtov!AE16+Rosica!AE16+Gabrovo!AE16+Plachkovci!AE16+Sevlievo!AE16+Bqla!AE16+Dunav_Ruse!AE16+Silistra!AE16+Tutrakan!AE16+Seslav!AE16+Karakuz!AE16+Razgrad!AE16+Voden!AE16</f>
        <v>1504</v>
      </c>
      <c r="AF16" s="161">
        <f>Bujnovci!AF16+Elena!AF16+Bolqrka!AF16+Gorna!AF16+Svishtov!AF16+Rosica!AF16+Gabrovo!AF16+Plachkovci!AF16+Sevlievo!AF16+Bqla!AF16+Dunav_Ruse!AF16+Silistra!AF16+Tutrakan!AF16+Seslav!AF16+Karakuz!AF16+Razgrad!AF16+Voden!AF16</f>
        <v>262</v>
      </c>
      <c r="AG16" s="161">
        <f>Bujnovci!AG16+Elena!AG16+Bolqrka!AG16+Gorna!AG16+Svishtov!AG16+Rosica!AG16+Gabrovo!AG16+Plachkovci!AG16+Sevlievo!AG16+Bqla!AG16+Dunav_Ruse!AG16+Silistra!AG16+Tutrakan!AG16+Seslav!AG16+Karakuz!AG16+Razgrad!AG16+Voden!AG16</f>
        <v>0</v>
      </c>
      <c r="AH16" s="161">
        <f>Bujnovci!AH16+Elena!AH16+Bolqrka!AH16+Gorna!AH16+Svishtov!AH16+Rosica!AH16+Gabrovo!AH16+Plachkovci!AH16+Sevlievo!AH16+Bqla!AH16+Dunav_Ruse!AH16+Silistra!AH16+Tutrakan!AH16+Seslav!AH16+Karakuz!AH16+Razgrad!AH16+Voden!AH16</f>
        <v>695</v>
      </c>
      <c r="AI16" s="166"/>
      <c r="AJ16" s="161" t="s">
        <v>13</v>
      </c>
      <c r="AK16" s="163">
        <f>Bujnovci!AK16+Elena!AK16+Bolqrka!AK16+Gorna!AK16+Svishtov!AK16+Rosica!AK16+Gabrovo!AK16+Plachkovci!AK16+Sevlievo!AK16+Bqla!AK16+Dunav_Ruse!AK16+Silistra!AK16+Tutrakan!AK16+Seslav!AK16+Karakuz!AK16+Razgrad!AK16+Voden!AK16</f>
        <v>9.8000000000000007</v>
      </c>
      <c r="AL16" s="161">
        <f>Bujnovci!AL16+Elena!AL16+Bolqrka!AL16+Gorna!AL16+Svishtov!AL16+Rosica!AL16+Gabrovo!AL16+Plachkovci!AL16+Sevlievo!AL16+Bqla!AL16+Dunav_Ruse!AL16+Silistra!AL16+Tutrakan!AL16+Seslav!AL16+Karakuz!AL16+Razgrad!AL16+Voden!AL16</f>
        <v>639</v>
      </c>
      <c r="AM16" s="161">
        <f>Bujnovci!AM16+Elena!AM16+Bolqrka!AM16+Gorna!AM16+Svishtov!AM16+Rosica!AM16+Gabrovo!AM16+Plachkovci!AM16+Sevlievo!AM16+Bqla!AM16+Dunav_Ruse!AM16+Silistra!AM16+Tutrakan!AM16+Seslav!AM16+Karakuz!AM16+Razgrad!AM16+Voden!AM16</f>
        <v>530</v>
      </c>
      <c r="AN16" s="161">
        <f>Bujnovci!AN16+Elena!AN16+Bolqrka!AN16+Gorna!AN16+Svishtov!AN16+Rosica!AN16+Gabrovo!AN16+Plachkovci!AN16+Sevlievo!AN16+Bqla!AN16+Dunav_Ruse!AN16+Silistra!AN16+Tutrakan!AN16+Seslav!AN16+Karakuz!AN16+Razgrad!AN16+Voden!AN16</f>
        <v>23</v>
      </c>
      <c r="AO16" s="161">
        <f>Bujnovci!AO16+Elena!AO16+Bolqrka!AO16+Gorna!AO16+Svishtov!AO16+Rosica!AO16+Gabrovo!AO16+Plachkovci!AO16+Sevlievo!AO16+Bqla!AO16+Dunav_Ruse!AO16+Silistra!AO16+Tutrakan!AO16+Seslav!AO16+Karakuz!AO16+Razgrad!AO16+Voden!AO16</f>
        <v>16</v>
      </c>
      <c r="AP16" s="161">
        <f>Bujnovci!AP16+Elena!AP16+Bolqrka!AP16+Gorna!AP16+Svishtov!AP16+Rosica!AP16+Gabrovo!AP16+Plachkovci!AP16+Sevlievo!AP16+Bqla!AP16+Dunav_Ruse!AP16+Silistra!AP16+Tutrakan!AP16+Seslav!AP16+Karakuz!AP16+Razgrad!AP16+Voden!AP16</f>
        <v>0</v>
      </c>
      <c r="AQ16" s="161">
        <f>Bujnovci!AQ16+Elena!AQ16+Bolqrka!AQ16+Gorna!AQ16+Svishtov!AQ16+Rosica!AQ16+Gabrovo!AQ16+Plachkovci!AQ16+Sevlievo!AQ16+Bqla!AQ16+Dunav_Ruse!AQ16+Silistra!AQ16+Tutrakan!AQ16+Seslav!AQ16+Karakuz!AQ16+Razgrad!AQ16+Voden!AQ16</f>
        <v>491</v>
      </c>
      <c r="AR16" s="162"/>
      <c r="AS16" s="162"/>
    </row>
    <row r="17" spans="1:45" ht="12">
      <c r="A17" s="160" t="s">
        <v>14</v>
      </c>
      <c r="B17" s="163">
        <f>Bujnovci!B17+Elena!B17+Bolqrka!B17+Gorna!B17+Svishtov!B17+Rosica!B17+Gabrovo!B17+Plachkovci!B17+Sevlievo!B17+Bqla!B17+Dunav_Ruse!B17+Silistra!B17+Tutrakan!B17+Seslav!B17+Karakuz!B17+Razgrad!B17+Voden!B17</f>
        <v>91.6</v>
      </c>
      <c r="C17" s="161">
        <f>Bujnovci!C17+Elena!C17+Bolqrka!C17+Gorna!C17+Svishtov!C17+Rosica!C17+Gabrovo!C17+Plachkovci!C17+Sevlievo!C17+Bqla!C17+Dunav_Ruse!C17+Silistra!C17+Tutrakan!C17+Seslav!C17+Karakuz!C17+Razgrad!C17+Voden!C17</f>
        <v>8282</v>
      </c>
      <c r="D17" s="161">
        <f>Bujnovci!D17+Elena!D17+Bolqrka!D17+Gorna!D17+Svishtov!D17+Rosica!D17+Gabrovo!D17+Plachkovci!D17+Sevlievo!D17+Bqla!D17+Dunav_Ruse!D17+Silistra!D17+Tutrakan!D17+Seslav!D17+Karakuz!D17+Razgrad!D17+Voden!D17</f>
        <v>7388</v>
      </c>
      <c r="E17" s="161">
        <f>Bujnovci!E17+Elena!E17+Bolqrka!E17+Gorna!E17+Svishtov!E17+Rosica!E17+Gabrovo!E17+Plachkovci!E17+Sevlievo!E17+Bqla!E17+Dunav_Ruse!E17+Silistra!E17+Tutrakan!E17+Seslav!E17+Karakuz!E17+Razgrad!E17+Voden!E17</f>
        <v>1741</v>
      </c>
      <c r="F17" s="161">
        <f>Bujnovci!F17+Elena!F17+Bolqrka!F17+Gorna!F17+Svishtov!F17+Rosica!F17+Gabrovo!F17+Plachkovci!F17+Sevlievo!F17+Bqla!F17+Dunav_Ruse!F17+Silistra!F17+Tutrakan!F17+Seslav!F17+Karakuz!F17+Razgrad!F17+Voden!F17</f>
        <v>881</v>
      </c>
      <c r="G17" s="161">
        <f>Bujnovci!G17+Elena!G17+Bolqrka!G17+Gorna!G17+Svishtov!G17+Rosica!G17+Gabrovo!G17+Plachkovci!G17+Sevlievo!G17+Bqla!G17+Dunav_Ruse!G17+Silistra!G17+Tutrakan!G17+Seslav!G17+Karakuz!G17+Razgrad!G17+Voden!G17</f>
        <v>232</v>
      </c>
      <c r="H17" s="161">
        <f>Bujnovci!H17+Elena!H17+Bolqrka!H17+Gorna!H17+Svishtov!H17+Rosica!H17+Gabrovo!H17+Plachkovci!H17+Sevlievo!H17+Bqla!H17+Dunav_Ruse!H17+Silistra!H17+Tutrakan!H17+Seslav!H17+Karakuz!H17+Razgrad!H17+Voden!H17</f>
        <v>4534</v>
      </c>
      <c r="I17" s="162"/>
      <c r="J17" s="160" t="s">
        <v>14</v>
      </c>
      <c r="K17" s="163">
        <f>Bujnovci!K17+Elena!K17+Bolqrka!K17+Gorna!K17+Svishtov!K17+Rosica!K17+Gabrovo!K17+Plachkovci!K17+Sevlievo!K17+Bqla!K17+Dunav_Ruse!K17+Silistra!K17+Tutrakan!K17+Seslav!K17+Karakuz!K17+Razgrad!K17+Voden!K17</f>
        <v>77.3</v>
      </c>
      <c r="L17" s="161">
        <f>Bujnovci!L17+Elena!L17+Bolqrka!L17+Gorna!L17+Svishtov!L17+Rosica!L17+Gabrovo!L17+Plachkovci!L17+Sevlievo!L17+Bqla!L17+Dunav_Ruse!L17+Silistra!L17+Tutrakan!L17+Seslav!L17+Karakuz!L17+Razgrad!L17+Voden!L17</f>
        <v>5997</v>
      </c>
      <c r="M17" s="161">
        <f>Bujnovci!M17+Elena!M17+Bolqrka!M17+Gorna!M17+Svishtov!M17+Rosica!M17+Gabrovo!M17+Plachkovci!M17+Sevlievo!M17+Bqla!M17+Dunav_Ruse!M17+Silistra!M17+Tutrakan!M17+Seslav!M17+Karakuz!M17+Razgrad!M17+Voden!M17</f>
        <v>5208</v>
      </c>
      <c r="N17" s="161">
        <f>Bujnovci!N17+Elena!N17+Bolqrka!N17+Gorna!N17+Svishtov!N17+Rosica!N17+Gabrovo!N17+Plachkovci!N17+Sevlievo!N17+Bqla!N17+Dunav_Ruse!N17+Silistra!N17+Tutrakan!N17+Seslav!N17+Karakuz!N17+Razgrad!N17+Voden!N17</f>
        <v>1741</v>
      </c>
      <c r="O17" s="161">
        <f>Bujnovci!O17+Elena!O17+Bolqrka!O17+Gorna!O17+Svishtov!O17+Rosica!O17+Gabrovo!O17+Plachkovci!O17+Sevlievo!O17+Bqla!O17+Dunav_Ruse!O17+Silistra!O17+Tutrakan!O17+Seslav!O17+Karakuz!O17+Razgrad!O17+Voden!O17</f>
        <v>881</v>
      </c>
      <c r="P17" s="161">
        <f>Bujnovci!P17+Elena!P17+Bolqrka!P17+Gorna!P17+Svishtov!P17+Rosica!P17+Gabrovo!P17+Plachkovci!P17+Sevlievo!P17+Bqla!P17+Dunav_Ruse!P17+Silistra!P17+Tutrakan!P17+Seslav!P17+Karakuz!P17+Razgrad!P17+Voden!P17</f>
        <v>232</v>
      </c>
      <c r="Q17" s="161">
        <f>Bujnovci!Q17+Elena!Q17+Bolqrka!Q17+Gorna!Q17+Svishtov!Q17+Rosica!Q17+Gabrovo!Q17+Plachkovci!Q17+Sevlievo!Q17+Bqla!Q17+Dunav_Ruse!Q17+Silistra!Q17+Tutrakan!Q17+Seslav!Q17+Karakuz!Q17+Razgrad!Q17+Voden!Q17</f>
        <v>2354</v>
      </c>
      <c r="R17" s="160" t="s">
        <v>14</v>
      </c>
      <c r="S17" s="163">
        <f>Bujnovci!S17+Elena!S17+Bolqrka!S17+Gorna!S17+Svishtov!S17+Rosica!S17+Gabrovo!S17+Plachkovci!S17+Sevlievo!S17+Bqla!S17+Dunav_Ruse!S17+Silistra!S17+Tutrakan!S17+Seslav!S17+Karakuz!S17+Razgrad!S17+Voden!S17</f>
        <v>0</v>
      </c>
      <c r="T17" s="161">
        <f>Bujnovci!T17+Elena!T17+Bolqrka!T17+Gorna!T17+Svishtov!T17+Rosica!T17+Gabrovo!T17+Plachkovci!T17+Sevlievo!T17+Bqla!T17+Dunav_Ruse!T17+Silistra!T17+Tutrakan!T17+Seslav!T17+Karakuz!T17+Razgrad!T17+Voden!T17</f>
        <v>0</v>
      </c>
      <c r="U17" s="161">
        <f>Bujnovci!U17+Elena!U17+Bolqrka!U17+Gorna!U17+Svishtov!U17+Rosica!U17+Gabrovo!U17+Plachkovci!U17+Sevlievo!U17+Bqla!U17+Dunav_Ruse!U17+Silistra!U17+Tutrakan!U17+Seslav!U17+Karakuz!U17+Razgrad!U17+Voden!U17</f>
        <v>0</v>
      </c>
      <c r="V17" s="161">
        <f>Bujnovci!V17+Elena!V17+Bolqrka!V17+Gorna!V17+Svishtov!V17+Rosica!V17+Gabrovo!V17+Plachkovci!V17+Sevlievo!V17+Bqla!V17+Dunav_Ruse!V17+Silistra!V17+Tutrakan!V17+Seslav!V17+Karakuz!V17+Razgrad!V17+Voden!V17</f>
        <v>0</v>
      </c>
      <c r="W17" s="161">
        <f>Bujnovci!W17+Elena!W17+Bolqrka!W17+Gorna!W17+Svishtov!W17+Rosica!W17+Gabrovo!W17+Plachkovci!W17+Sevlievo!W17+Bqla!W17+Dunav_Ruse!W17+Silistra!W17+Tutrakan!W17+Seslav!W17+Karakuz!W17+Razgrad!W17+Voden!W17</f>
        <v>0</v>
      </c>
      <c r="X17" s="161">
        <f>Bujnovci!X17+Elena!X17+Bolqrka!X17+Gorna!X17+Svishtov!X17+Rosica!X17+Gabrovo!X17+Plachkovci!X17+Sevlievo!X17+Bqla!X17+Dunav_Ruse!X17+Silistra!X17+Tutrakan!X17+Seslav!X17+Karakuz!X17+Razgrad!X17+Voden!X17</f>
        <v>0</v>
      </c>
      <c r="Y17" s="161">
        <f>Bujnovci!Y17+Elena!Y17+Bolqrka!Y17+Gorna!Y17+Svishtov!Y17+Rosica!Y17+Gabrovo!Y17+Plachkovci!Y17+Sevlievo!Y17+Bqla!Y17+Dunav_Ruse!Y17+Silistra!Y17+Tutrakan!Y17+Seslav!Y17+Karakuz!Y17+Razgrad!Y17+Voden!Y17</f>
        <v>0</v>
      </c>
      <c r="Z17" s="162"/>
      <c r="AA17" s="160" t="s">
        <v>14</v>
      </c>
      <c r="AB17" s="163">
        <f>Bujnovci!AB17+Elena!AB17+Bolqrka!AB17+Gorna!AB17+Svishtov!AB17+Rosica!AB17+Gabrovo!AB17+Plachkovci!AB17+Sevlievo!AB17+Bqla!AB17+Dunav_Ruse!AB17+Silistra!AB17+Tutrakan!AB17+Seslav!AB17+Karakuz!AB17+Razgrad!AB17+Voden!AB17</f>
        <v>0</v>
      </c>
      <c r="AC17" s="161">
        <f>Bujnovci!AC17+Elena!AC17+Bolqrka!AC17+Gorna!AC17+Svishtov!AC17+Rosica!AC17+Gabrovo!AC17+Plachkovci!AC17+Sevlievo!AC17+Bqla!AC17+Dunav_Ruse!AC17+Silistra!AC17+Tutrakan!AC17+Seslav!AC17+Karakuz!AC17+Razgrad!AC17+Voden!AC17</f>
        <v>0</v>
      </c>
      <c r="AD17" s="161">
        <f>Bujnovci!AD17+Elena!AD17+Bolqrka!AD17+Gorna!AD17+Svishtov!AD17+Rosica!AD17+Gabrovo!AD17+Plachkovci!AD17+Sevlievo!AD17+Bqla!AD17+Dunav_Ruse!AD17+Silistra!AD17+Tutrakan!AD17+Seslav!AD17+Karakuz!AD17+Razgrad!AD17+Voden!AD17</f>
        <v>0</v>
      </c>
      <c r="AE17" s="161">
        <f>Bujnovci!AE17+Elena!AE17+Bolqrka!AE17+Gorna!AE17+Svishtov!AE17+Rosica!AE17+Gabrovo!AE17+Plachkovci!AE17+Sevlievo!AE17+Bqla!AE17+Dunav_Ruse!AE17+Silistra!AE17+Tutrakan!AE17+Seslav!AE17+Karakuz!AE17+Razgrad!AE17+Voden!AE17</f>
        <v>0</v>
      </c>
      <c r="AF17" s="161">
        <f>Bujnovci!AF17+Elena!AF17+Bolqrka!AF17+Gorna!AF17+Svishtov!AF17+Rosica!AF17+Gabrovo!AF17+Plachkovci!AF17+Sevlievo!AF17+Bqla!AF17+Dunav_Ruse!AF17+Silistra!AF17+Tutrakan!AF17+Seslav!AF17+Karakuz!AF17+Razgrad!AF17+Voden!AF17</f>
        <v>0</v>
      </c>
      <c r="AG17" s="161">
        <f>Bujnovci!AG17+Elena!AG17+Bolqrka!AG17+Gorna!AG17+Svishtov!AG17+Rosica!AG17+Gabrovo!AG17+Plachkovci!AG17+Sevlievo!AG17+Bqla!AG17+Dunav_Ruse!AG17+Silistra!AG17+Tutrakan!AG17+Seslav!AG17+Karakuz!AG17+Razgrad!AG17+Voden!AG17</f>
        <v>0</v>
      </c>
      <c r="AH17" s="161">
        <f>Bujnovci!AH17+Elena!AH17+Bolqrka!AH17+Gorna!AH17+Svishtov!AH17+Rosica!AH17+Gabrovo!AH17+Plachkovci!AH17+Sevlievo!AH17+Bqla!AH17+Dunav_Ruse!AH17+Silistra!AH17+Tutrakan!AH17+Seslav!AH17+Karakuz!AH17+Razgrad!AH17+Voden!AH17</f>
        <v>0</v>
      </c>
      <c r="AI17" s="166"/>
      <c r="AJ17" s="161" t="s">
        <v>14</v>
      </c>
      <c r="AK17" s="163">
        <f>Bujnovci!AK17+Elena!AK17+Bolqrka!AK17+Gorna!AK17+Svishtov!AK17+Rosica!AK17+Gabrovo!AK17+Plachkovci!AK17+Sevlievo!AK17+Bqla!AK17+Dunav_Ruse!AK17+Silistra!AK17+Tutrakan!AK17+Seslav!AK17+Karakuz!AK17+Razgrad!AK17+Voden!AK17</f>
        <v>14.299999999999999</v>
      </c>
      <c r="AL17" s="161">
        <f>Bujnovci!AL17+Elena!AL17+Bolqrka!AL17+Gorna!AL17+Svishtov!AL17+Rosica!AL17+Gabrovo!AL17+Plachkovci!AL17+Sevlievo!AL17+Bqla!AL17+Dunav_Ruse!AL17+Silistra!AL17+Tutrakan!AL17+Seslav!AL17+Karakuz!AL17+Razgrad!AL17+Voden!AL17</f>
        <v>2285</v>
      </c>
      <c r="AM17" s="161">
        <f>Bujnovci!AM17+Elena!AM17+Bolqrka!AM17+Gorna!AM17+Svishtov!AM17+Rosica!AM17+Gabrovo!AM17+Plachkovci!AM17+Sevlievo!AM17+Bqla!AM17+Dunav_Ruse!AM17+Silistra!AM17+Tutrakan!AM17+Seslav!AM17+Karakuz!AM17+Razgrad!AM17+Voden!AM17</f>
        <v>2180</v>
      </c>
      <c r="AN17" s="161">
        <f>Bujnovci!AN17+Elena!AN17+Bolqrka!AN17+Gorna!AN17+Svishtov!AN17+Rosica!AN17+Gabrovo!AN17+Plachkovci!AN17+Sevlievo!AN17+Bqla!AN17+Dunav_Ruse!AN17+Silistra!AN17+Tutrakan!AN17+Seslav!AN17+Karakuz!AN17+Razgrad!AN17+Voden!AN17</f>
        <v>0</v>
      </c>
      <c r="AO17" s="161">
        <f>Bujnovci!AO17+Elena!AO17+Bolqrka!AO17+Gorna!AO17+Svishtov!AO17+Rosica!AO17+Gabrovo!AO17+Plachkovci!AO17+Sevlievo!AO17+Bqla!AO17+Dunav_Ruse!AO17+Silistra!AO17+Tutrakan!AO17+Seslav!AO17+Karakuz!AO17+Razgrad!AO17+Voden!AO17</f>
        <v>0</v>
      </c>
      <c r="AP17" s="161">
        <f>Bujnovci!AP17+Elena!AP17+Bolqrka!AP17+Gorna!AP17+Svishtov!AP17+Rosica!AP17+Gabrovo!AP17+Plachkovci!AP17+Sevlievo!AP17+Bqla!AP17+Dunav_Ruse!AP17+Silistra!AP17+Tutrakan!AP17+Seslav!AP17+Karakuz!AP17+Razgrad!AP17+Voden!AP17</f>
        <v>0</v>
      </c>
      <c r="AQ17" s="161">
        <f>Bujnovci!AQ17+Elena!AQ17+Bolqrka!AQ17+Gorna!AQ17+Svishtov!AQ17+Rosica!AQ17+Gabrovo!AQ17+Plachkovci!AQ17+Sevlievo!AQ17+Bqla!AQ17+Dunav_Ruse!AQ17+Silistra!AQ17+Tutrakan!AQ17+Seslav!AQ17+Karakuz!AQ17+Razgrad!AQ17+Voden!AQ17</f>
        <v>2180</v>
      </c>
      <c r="AR17" s="162"/>
      <c r="AS17" s="162"/>
    </row>
    <row r="18" spans="1:45" ht="12">
      <c r="A18" s="160" t="s">
        <v>15</v>
      </c>
      <c r="B18" s="163">
        <f>Bujnovci!B18+Elena!B18+Bolqrka!B18+Gorna!B18+Svishtov!B18+Rosica!B18+Gabrovo!B18+Plachkovci!B18+Sevlievo!B18+Bqla!B18+Dunav_Ruse!B18+Silistra!B18+Tutrakan!B18+Seslav!B18+Karakuz!B18+Razgrad!B18+Voden!B18</f>
        <v>4.1499999999999995</v>
      </c>
      <c r="C18" s="161">
        <f>Bujnovci!C18+Elena!C18+Bolqrka!C18+Gorna!C18+Svishtov!C18+Rosica!C18+Gabrovo!C18+Plachkovci!C18+Sevlievo!C18+Bqla!C18+Dunav_Ruse!C18+Silistra!C18+Tutrakan!C18+Seslav!C18+Karakuz!C18+Razgrad!C18+Voden!C18</f>
        <v>471</v>
      </c>
      <c r="D18" s="161">
        <f>Bujnovci!D18+Elena!D18+Bolqrka!D18+Gorna!D18+Svishtov!D18+Rosica!D18+Gabrovo!D18+Plachkovci!D18+Sevlievo!D18+Bqla!D18+Dunav_Ruse!D18+Silistra!D18+Tutrakan!D18+Seslav!D18+Karakuz!D18+Razgrad!D18+Voden!D18</f>
        <v>399</v>
      </c>
      <c r="E18" s="161">
        <f>Bujnovci!E18+Elena!E18+Bolqrka!E18+Gorna!E18+Svishtov!E18+Rosica!E18+Gabrovo!E18+Plachkovci!E18+Sevlievo!E18+Bqla!E18+Dunav_Ruse!E18+Silistra!E18+Tutrakan!E18+Seslav!E18+Karakuz!E18+Razgrad!E18+Voden!E18</f>
        <v>199</v>
      </c>
      <c r="F18" s="161">
        <f>Bujnovci!F18+Elena!F18+Bolqrka!F18+Gorna!F18+Svishtov!F18+Rosica!F18+Gabrovo!F18+Plachkovci!F18+Sevlievo!F18+Bqla!F18+Dunav_Ruse!F18+Silistra!F18+Tutrakan!F18+Seslav!F18+Karakuz!F18+Razgrad!F18+Voden!F18</f>
        <v>25</v>
      </c>
      <c r="G18" s="161">
        <f>Bujnovci!G18+Elena!G18+Bolqrka!G18+Gorna!G18+Svishtov!G18+Rosica!G18+Gabrovo!G18+Plachkovci!G18+Sevlievo!G18+Bqla!G18+Dunav_Ruse!G18+Silistra!G18+Tutrakan!G18+Seslav!G18+Karakuz!G18+Razgrad!G18+Voden!G18</f>
        <v>0</v>
      </c>
      <c r="H18" s="161">
        <f>Bujnovci!H18+Elena!H18+Bolqrka!H18+Gorna!H18+Svishtov!H18+Rosica!H18+Gabrovo!H18+Plachkovci!H18+Sevlievo!H18+Bqla!H18+Dunav_Ruse!H18+Silistra!H18+Tutrakan!H18+Seslav!H18+Karakuz!H18+Razgrad!H18+Voden!H18</f>
        <v>175</v>
      </c>
      <c r="I18" s="162"/>
      <c r="J18" s="160" t="s">
        <v>15</v>
      </c>
      <c r="K18" s="163">
        <f>Bujnovci!K18+Elena!K18+Bolqrka!K18+Gorna!K18+Svishtov!K18+Rosica!K18+Gabrovo!K18+Plachkovci!K18+Sevlievo!K18+Bqla!K18+Dunav_Ruse!K18+Silistra!K18+Tutrakan!K18+Seslav!K18+Karakuz!K18+Razgrad!K18+Voden!K18</f>
        <v>4.1499999999999995</v>
      </c>
      <c r="L18" s="161">
        <f>Bujnovci!L18+Elena!L18+Bolqrka!L18+Gorna!L18+Svishtov!L18+Rosica!L18+Gabrovo!L18+Plachkovci!L18+Sevlievo!L18+Bqla!L18+Dunav_Ruse!L18+Silistra!L18+Tutrakan!L18+Seslav!L18+Karakuz!L18+Razgrad!L18+Voden!L18</f>
        <v>464</v>
      </c>
      <c r="M18" s="161">
        <f>Bujnovci!M18+Elena!M18+Bolqrka!M18+Gorna!M18+Svishtov!M18+Rosica!M18+Gabrovo!M18+Plachkovci!M18+Sevlievo!M18+Bqla!M18+Dunav_Ruse!M18+Silistra!M18+Tutrakan!M18+Seslav!M18+Karakuz!M18+Razgrad!M18+Voden!M18</f>
        <v>393</v>
      </c>
      <c r="N18" s="161">
        <f>Bujnovci!N18+Elena!N18+Bolqrka!N18+Gorna!N18+Svishtov!N18+Rosica!N18+Gabrovo!N18+Plachkovci!N18+Sevlievo!N18+Bqla!N18+Dunav_Ruse!N18+Silistra!N18+Tutrakan!N18+Seslav!N18+Karakuz!N18+Razgrad!N18+Voden!N18</f>
        <v>193</v>
      </c>
      <c r="O18" s="161">
        <f>Bujnovci!O18+Elena!O18+Bolqrka!O18+Gorna!O18+Svishtov!O18+Rosica!O18+Gabrovo!O18+Plachkovci!O18+Sevlievo!O18+Bqla!O18+Dunav_Ruse!O18+Silistra!O18+Tutrakan!O18+Seslav!O18+Karakuz!O18+Razgrad!O18+Voden!O18</f>
        <v>25</v>
      </c>
      <c r="P18" s="161">
        <f>Bujnovci!P18+Elena!P18+Bolqrka!P18+Gorna!P18+Svishtov!P18+Rosica!P18+Gabrovo!P18+Plachkovci!P18+Sevlievo!P18+Bqla!P18+Dunav_Ruse!P18+Silistra!P18+Tutrakan!P18+Seslav!P18+Karakuz!P18+Razgrad!P18+Voden!P18</f>
        <v>0</v>
      </c>
      <c r="Q18" s="161">
        <f>Bujnovci!Q18+Elena!Q18+Bolqrka!Q18+Gorna!Q18+Svishtov!Q18+Rosica!Q18+Gabrovo!Q18+Plachkovci!Q18+Sevlievo!Q18+Bqla!Q18+Dunav_Ruse!Q18+Silistra!Q18+Tutrakan!Q18+Seslav!Q18+Karakuz!Q18+Razgrad!Q18+Voden!Q18</f>
        <v>175</v>
      </c>
      <c r="R18" s="160" t="s">
        <v>15</v>
      </c>
      <c r="S18" s="163">
        <f>Bujnovci!S18+Elena!S18+Bolqrka!S18+Gorna!S18+Svishtov!S18+Rosica!S18+Gabrovo!S18+Plachkovci!S18+Sevlievo!S18+Bqla!S18+Dunav_Ruse!S18+Silistra!S18+Tutrakan!S18+Seslav!S18+Karakuz!S18+Razgrad!S18+Voden!S18</f>
        <v>0</v>
      </c>
      <c r="T18" s="161">
        <f>Bujnovci!T18+Elena!T18+Bolqrka!T18+Gorna!T18+Svishtov!T18+Rosica!T18+Gabrovo!T18+Plachkovci!T18+Sevlievo!T18+Bqla!T18+Dunav_Ruse!T18+Silistra!T18+Tutrakan!T18+Seslav!T18+Karakuz!T18+Razgrad!T18+Voden!T18</f>
        <v>0</v>
      </c>
      <c r="U18" s="161">
        <f>Bujnovci!U18+Elena!U18+Bolqrka!U18+Gorna!U18+Svishtov!U18+Rosica!U18+Gabrovo!U18+Plachkovci!U18+Sevlievo!U18+Bqla!U18+Dunav_Ruse!U18+Silistra!U18+Tutrakan!U18+Seslav!U18+Karakuz!U18+Razgrad!U18+Voden!U18</f>
        <v>0</v>
      </c>
      <c r="V18" s="161">
        <f>Bujnovci!V18+Elena!V18+Bolqrka!V18+Gorna!V18+Svishtov!V18+Rosica!V18+Gabrovo!V18+Plachkovci!V18+Sevlievo!V18+Bqla!V18+Dunav_Ruse!V18+Silistra!V18+Tutrakan!V18+Seslav!V18+Karakuz!V18+Razgrad!V18+Voden!V18</f>
        <v>0</v>
      </c>
      <c r="W18" s="161">
        <f>Bujnovci!W18+Elena!W18+Bolqrka!W18+Gorna!W18+Svishtov!W18+Rosica!W18+Gabrovo!W18+Plachkovci!W18+Sevlievo!W18+Bqla!W18+Dunav_Ruse!W18+Silistra!W18+Tutrakan!W18+Seslav!W18+Karakuz!W18+Razgrad!W18+Voden!W18</f>
        <v>0</v>
      </c>
      <c r="X18" s="161">
        <f>Bujnovci!X18+Elena!X18+Bolqrka!X18+Gorna!X18+Svishtov!X18+Rosica!X18+Gabrovo!X18+Plachkovci!X18+Sevlievo!X18+Bqla!X18+Dunav_Ruse!X18+Silistra!X18+Tutrakan!X18+Seslav!X18+Karakuz!X18+Razgrad!X18+Voden!X18</f>
        <v>0</v>
      </c>
      <c r="Y18" s="161">
        <f>Bujnovci!Y18+Elena!Y18+Bolqrka!Y18+Gorna!Y18+Svishtov!Y18+Rosica!Y18+Gabrovo!Y18+Plachkovci!Y18+Sevlievo!Y18+Bqla!Y18+Dunav_Ruse!Y18+Silistra!Y18+Tutrakan!Y18+Seslav!Y18+Karakuz!Y18+Razgrad!Y18+Voden!Y18</f>
        <v>0</v>
      </c>
      <c r="Z18" s="162"/>
      <c r="AA18" s="160" t="s">
        <v>15</v>
      </c>
      <c r="AB18" s="163">
        <f>Bujnovci!AB18+Elena!AB18+Bolqrka!AB18+Gorna!AB18+Svishtov!AB18+Rosica!AB18+Gabrovo!AB18+Plachkovci!AB18+Sevlievo!AB18+Bqla!AB18+Dunav_Ruse!AB18+Silistra!AB18+Tutrakan!AB18+Seslav!AB18+Karakuz!AB18+Razgrad!AB18+Voden!AB18</f>
        <v>0</v>
      </c>
      <c r="AC18" s="161">
        <f>Bujnovci!AC18+Elena!AC18+Bolqrka!AC18+Gorna!AC18+Svishtov!AC18+Rosica!AC18+Gabrovo!AC18+Plachkovci!AC18+Sevlievo!AC18+Bqla!AC18+Dunav_Ruse!AC18+Silistra!AC18+Tutrakan!AC18+Seslav!AC18+Karakuz!AC18+Razgrad!AC18+Voden!AC18</f>
        <v>0</v>
      </c>
      <c r="AD18" s="161">
        <f>Bujnovci!AD18+Elena!AD18+Bolqrka!AD18+Gorna!AD18+Svishtov!AD18+Rosica!AD18+Gabrovo!AD18+Plachkovci!AD18+Sevlievo!AD18+Bqla!AD18+Dunav_Ruse!AD18+Silistra!AD18+Tutrakan!AD18+Seslav!AD18+Karakuz!AD18+Razgrad!AD18+Voden!AD18</f>
        <v>0</v>
      </c>
      <c r="AE18" s="161">
        <f>Bujnovci!AE18+Elena!AE18+Bolqrka!AE18+Gorna!AE18+Svishtov!AE18+Rosica!AE18+Gabrovo!AE18+Plachkovci!AE18+Sevlievo!AE18+Bqla!AE18+Dunav_Ruse!AE18+Silistra!AE18+Tutrakan!AE18+Seslav!AE18+Karakuz!AE18+Razgrad!AE18+Voden!AE18</f>
        <v>0</v>
      </c>
      <c r="AF18" s="161">
        <f>Bujnovci!AF18+Elena!AF18+Bolqrka!AF18+Gorna!AF18+Svishtov!AF18+Rosica!AF18+Gabrovo!AF18+Plachkovci!AF18+Sevlievo!AF18+Bqla!AF18+Dunav_Ruse!AF18+Silistra!AF18+Tutrakan!AF18+Seslav!AF18+Karakuz!AF18+Razgrad!AF18+Voden!AF18</f>
        <v>0</v>
      </c>
      <c r="AG18" s="161">
        <f>Bujnovci!AG18+Elena!AG18+Bolqrka!AG18+Gorna!AG18+Svishtov!AG18+Rosica!AG18+Gabrovo!AG18+Plachkovci!AG18+Sevlievo!AG18+Bqla!AG18+Dunav_Ruse!AG18+Silistra!AG18+Tutrakan!AG18+Seslav!AG18+Karakuz!AG18+Razgrad!AG18+Voden!AG18</f>
        <v>0</v>
      </c>
      <c r="AH18" s="161">
        <f>Bujnovci!AH18+Elena!AH18+Bolqrka!AH18+Gorna!AH18+Svishtov!AH18+Rosica!AH18+Gabrovo!AH18+Plachkovci!AH18+Sevlievo!AH18+Bqla!AH18+Dunav_Ruse!AH18+Silistra!AH18+Tutrakan!AH18+Seslav!AH18+Karakuz!AH18+Razgrad!AH18+Voden!AH18</f>
        <v>0</v>
      </c>
      <c r="AI18" s="166"/>
      <c r="AJ18" s="161" t="s">
        <v>15</v>
      </c>
      <c r="AK18" s="163">
        <f>Bujnovci!AK18+Elena!AK18+Bolqrka!AK18+Gorna!AK18+Svishtov!AK18+Rosica!AK18+Gabrovo!AK18+Plachkovci!AK18+Sevlievo!AK18+Bqla!AK18+Dunav_Ruse!AK18+Silistra!AK18+Tutrakan!AK18+Seslav!AK18+Karakuz!AK18+Razgrad!AK18+Voden!AK18</f>
        <v>0</v>
      </c>
      <c r="AL18" s="161">
        <f>Bujnovci!AL18+Elena!AL18+Bolqrka!AL18+Gorna!AL18+Svishtov!AL18+Rosica!AL18+Gabrovo!AL18+Plachkovci!AL18+Sevlievo!AL18+Bqla!AL18+Dunav_Ruse!AL18+Silistra!AL18+Tutrakan!AL18+Seslav!AL18+Karakuz!AL18+Razgrad!AL18+Voden!AL18</f>
        <v>7</v>
      </c>
      <c r="AM18" s="161">
        <f>Bujnovci!AM18+Elena!AM18+Bolqrka!AM18+Gorna!AM18+Svishtov!AM18+Rosica!AM18+Gabrovo!AM18+Plachkovci!AM18+Sevlievo!AM18+Bqla!AM18+Dunav_Ruse!AM18+Silistra!AM18+Tutrakan!AM18+Seslav!AM18+Karakuz!AM18+Razgrad!AM18+Voden!AM18</f>
        <v>6</v>
      </c>
      <c r="AN18" s="161">
        <f>Bujnovci!AN18+Elena!AN18+Bolqrka!AN18+Gorna!AN18+Svishtov!AN18+Rosica!AN18+Gabrovo!AN18+Plachkovci!AN18+Sevlievo!AN18+Bqla!AN18+Dunav_Ruse!AN18+Silistra!AN18+Tutrakan!AN18+Seslav!AN18+Karakuz!AN18+Razgrad!AN18+Voden!AN18</f>
        <v>6</v>
      </c>
      <c r="AO18" s="161">
        <f>Bujnovci!AO18+Elena!AO18+Bolqrka!AO18+Gorna!AO18+Svishtov!AO18+Rosica!AO18+Gabrovo!AO18+Plachkovci!AO18+Sevlievo!AO18+Bqla!AO18+Dunav_Ruse!AO18+Silistra!AO18+Tutrakan!AO18+Seslav!AO18+Karakuz!AO18+Razgrad!AO18+Voden!AO18</f>
        <v>0</v>
      </c>
      <c r="AP18" s="161">
        <f>Bujnovci!AP18+Elena!AP18+Bolqrka!AP18+Gorna!AP18+Svishtov!AP18+Rosica!AP18+Gabrovo!AP18+Plachkovci!AP18+Sevlievo!AP18+Bqla!AP18+Dunav_Ruse!AP18+Silistra!AP18+Tutrakan!AP18+Seslav!AP18+Karakuz!AP18+Razgrad!AP18+Voden!AP18</f>
        <v>0</v>
      </c>
      <c r="AQ18" s="161">
        <f>Bujnovci!AQ18+Elena!AQ18+Bolqrka!AQ18+Gorna!AQ18+Svishtov!AQ18+Rosica!AQ18+Gabrovo!AQ18+Plachkovci!AQ18+Sevlievo!AQ18+Bqla!AQ18+Dunav_Ruse!AQ18+Silistra!AQ18+Tutrakan!AQ18+Seslav!AQ18+Karakuz!AQ18+Razgrad!AQ18+Voden!AQ18</f>
        <v>0</v>
      </c>
      <c r="AR18" s="162"/>
      <c r="AS18" s="162"/>
    </row>
    <row r="19" spans="1:45" ht="12">
      <c r="A19" s="174" t="s">
        <v>16</v>
      </c>
      <c r="B19" s="161"/>
      <c r="C19" s="161"/>
      <c r="D19" s="161"/>
      <c r="E19" s="161"/>
      <c r="F19" s="161"/>
      <c r="G19" s="161"/>
      <c r="H19" s="161"/>
      <c r="I19" s="162"/>
      <c r="J19" s="174" t="s">
        <v>16</v>
      </c>
      <c r="K19" s="161"/>
      <c r="L19" s="161"/>
      <c r="M19" s="161"/>
      <c r="N19" s="161"/>
      <c r="O19" s="161"/>
      <c r="P19" s="161"/>
      <c r="Q19" s="161"/>
      <c r="R19" s="174" t="s">
        <v>16</v>
      </c>
      <c r="S19" s="161"/>
      <c r="T19" s="161"/>
      <c r="U19" s="161"/>
      <c r="V19" s="161"/>
      <c r="W19" s="161"/>
      <c r="X19" s="161"/>
      <c r="Y19" s="161"/>
      <c r="Z19" s="162"/>
      <c r="AA19" s="160" t="s">
        <v>16</v>
      </c>
      <c r="AB19" s="161"/>
      <c r="AC19" s="161"/>
      <c r="AD19" s="161"/>
      <c r="AE19" s="161"/>
      <c r="AF19" s="161"/>
      <c r="AG19" s="161"/>
      <c r="AH19" s="161"/>
      <c r="AI19" s="171"/>
      <c r="AJ19" s="161" t="s">
        <v>16</v>
      </c>
      <c r="AK19" s="194"/>
      <c r="AL19" s="161"/>
      <c r="AM19" s="161"/>
      <c r="AN19" s="161"/>
      <c r="AO19" s="161"/>
      <c r="AP19" s="161"/>
      <c r="AQ19" s="161"/>
      <c r="AR19" s="162"/>
      <c r="AS19" s="162"/>
    </row>
    <row r="20" spans="1:45" s="158" customFormat="1" ht="12">
      <c r="A20" s="170" t="s">
        <v>18</v>
      </c>
      <c r="B20" s="163">
        <f>Bujnovci!B20+Elena!B20+Bolqrka!B20+Gorna!B20+Svishtov!B20+Rosica!B20+Gabrovo!B20+Plachkovci!B20+Sevlievo!B20+Bqla!B20+Dunav_Ruse!B20+Silistra!B20+Tutrakan!B20+Seslav!B20+Karakuz!B20+Razgrad!B20+Voden!B20</f>
        <v>10482.289999999997</v>
      </c>
      <c r="C20" s="161">
        <f>Bujnovci!C20+Elena!C20+Bolqrka!C20+Gorna!C20+Svishtov!C20+Rosica!C20+Gabrovo!C20+Plachkovci!C20+Sevlievo!C20+Bqla!C20+Dunav_Ruse!C20+Silistra!C20+Tutrakan!C20+Seslav!C20+Karakuz!C20+Razgrad!C20+Voden!C20</f>
        <v>586311.5</v>
      </c>
      <c r="D20" s="161">
        <f>Bujnovci!D20+Elena!D20+Bolqrka!D20+Gorna!D20+Svishtov!D20+Rosica!D20+Gabrovo!D20+Plachkovci!D20+Sevlievo!D20+Bqla!D20+Dunav_Ruse!D20+Silistra!D20+Tutrakan!D20+Seslav!D20+Karakuz!D20+Razgrad!D20+Voden!D20</f>
        <v>503450.5</v>
      </c>
      <c r="E20" s="161">
        <f>Bujnovci!E20+Elena!E20+Bolqrka!E20+Gorna!E20+Svishtov!E20+Rosica!E20+Gabrovo!E20+Plachkovci!E20+Sevlievo!E20+Bqla!E20+Dunav_Ruse!E20+Silistra!E20+Tutrakan!E20+Seslav!E20+Karakuz!E20+Razgrad!E20+Voden!E20</f>
        <v>87832</v>
      </c>
      <c r="F20" s="161">
        <f>Bujnovci!F20+Elena!F20+Bolqrka!F20+Gorna!F20+Svishtov!F20+Rosica!F20+Gabrovo!F20+Plachkovci!F20+Sevlievo!F20+Bqla!F20+Dunav_Ruse!F20+Silistra!F20+Tutrakan!F20+Seslav!F20+Karakuz!F20+Razgrad!F20+Voden!F20</f>
        <v>107794</v>
      </c>
      <c r="G20" s="161">
        <f>Bujnovci!G20+Elena!G20+Bolqrka!G20+Gorna!G20+Svishtov!G20+Rosica!G20+Gabrovo!G20+Plachkovci!G20+Sevlievo!G20+Bqla!G20+Dunav_Ruse!G20+Silistra!G20+Tutrakan!G20+Seslav!G20+Karakuz!G20+Razgrad!G20+Voden!G20</f>
        <v>23285</v>
      </c>
      <c r="H20" s="161">
        <f>Bujnovci!H20+Elena!H20+Bolqrka!H20+Gorna!H20+Svishtov!H20+Rosica!H20+Gabrovo!H20+Plachkovci!H20+Sevlievo!H20+Bqla!H20+Dunav_Ruse!H20+Silistra!H20+Tutrakan!H20+Seslav!H20+Karakuz!H20+Razgrad!H20+Voden!H20</f>
        <v>283599</v>
      </c>
      <c r="I20" s="162"/>
      <c r="J20" s="170" t="s">
        <v>18</v>
      </c>
      <c r="K20" s="163">
        <f>Bujnovci!K20+Elena!K20+Bolqrka!K20+Gorna!K20+Svishtov!K20+Rosica!K20+Gabrovo!K20+Plachkovci!K20+Sevlievo!K20+Bqla!K20+Dunav_Ruse!K20+Silistra!K20+Tutrakan!K20+Seslav!K20+Karakuz!K20+Razgrad!K20+Voden!K20</f>
        <v>3421.3399999999997</v>
      </c>
      <c r="L20" s="161">
        <f>Bujnovci!L20+Elena!L20+Bolqrka!L20+Gorna!L20+Svishtov!L20+Rosica!L20+Gabrovo!L20+Plachkovci!L20+Sevlievo!L20+Bqla!L20+Dunav_Ruse!L20+Silistra!L20+Tutrakan!L20+Seslav!L20+Karakuz!L20+Razgrad!L20+Voden!L20</f>
        <v>125494.5</v>
      </c>
      <c r="M20" s="161">
        <f>Bujnovci!M20+Elena!M20+Bolqrka!M20+Gorna!M20+Svishtov!M20+Rosica!M20+Gabrovo!M20+Plachkovci!M20+Sevlievo!M20+Bqla!M20+Dunav_Ruse!M20+Silistra!M20+Tutrakan!M20+Seslav!M20+Karakuz!M20+Razgrad!M20+Voden!M20</f>
        <v>104793.5</v>
      </c>
      <c r="N20" s="161">
        <f>Bujnovci!N20+Elena!N20+Bolqrka!N20+Gorna!N20+Svishtov!N20+Rosica!N20+Gabrovo!N20+Plachkovci!N20+Sevlievo!N20+Bqla!N20+Dunav_Ruse!N20+Silistra!N20+Tutrakan!N20+Seslav!N20+Karakuz!N20+Razgrad!N20+Voden!N20</f>
        <v>8073.5</v>
      </c>
      <c r="O20" s="161">
        <f>Bujnovci!O20+Elena!O20+Bolqrka!O20+Gorna!O20+Svishtov!O20+Rosica!O20+Gabrovo!O20+Plachkovci!O20+Sevlievo!O20+Bqla!O20+Dunav_Ruse!O20+Silistra!O20+Tutrakan!O20+Seslav!O20+Karakuz!O20+Razgrad!O20+Voden!O20</f>
        <v>25232</v>
      </c>
      <c r="P20" s="161">
        <f>Bujnovci!P20+Elena!P20+Bolqrka!P20+Gorna!P20+Svishtov!P20+Rosica!P20+Gabrovo!P20+Plachkovci!P20+Sevlievo!P20+Bqla!P20+Dunav_Ruse!P20+Silistra!P20+Tutrakan!P20+Seslav!P20+Karakuz!P20+Razgrad!P20+Voden!P20</f>
        <v>6166.5</v>
      </c>
      <c r="Q20" s="161">
        <f>Bujnovci!Q20+Elena!Q20+Bolqrka!Q20+Gorna!Q20+Svishtov!Q20+Rosica!Q20+Gabrovo!Q20+Plachkovci!Q20+Sevlievo!Q20+Bqla!Q20+Dunav_Ruse!Q20+Silistra!Q20+Tutrakan!Q20+Seslav!Q20+Karakuz!Q20+Razgrad!Q20+Voden!Q20</f>
        <v>64953</v>
      </c>
      <c r="R20" s="170" t="s">
        <v>18</v>
      </c>
      <c r="S20" s="163">
        <f>Bujnovci!S20+Elena!S20+Bolqrka!S20+Gorna!S20+Svishtov!S20+Rosica!S20+Gabrovo!S20+Plachkovci!S20+Sevlievo!S20+Bqla!S20+Dunav_Ruse!S20+Silistra!S20+Tutrakan!S20+Seslav!S20+Karakuz!S20+Razgrad!S20+Voden!S20</f>
        <v>6786.4500000000007</v>
      </c>
      <c r="T20" s="161">
        <f>Bujnovci!T20+Elena!T20+Bolqrka!T20+Gorna!T20+Svishtov!T20+Rosica!T20+Gabrovo!T20+Plachkovci!T20+Sevlievo!T20+Bqla!T20+Dunav_Ruse!T20+Silistra!T20+Tutrakan!T20+Seslav!T20+Karakuz!T20+Razgrad!T20+Voden!T20</f>
        <v>454321</v>
      </c>
      <c r="U20" s="161">
        <f>Bujnovci!U20+Elena!U20+Bolqrka!U20+Gorna!U20+Svishtov!U20+Rosica!U20+Gabrovo!U20+Plachkovci!U20+Sevlievo!U20+Bqla!U20+Dunav_Ruse!U20+Silistra!U20+Tutrakan!U20+Seslav!U20+Karakuz!U20+Razgrad!U20+Voden!U20</f>
        <v>393756</v>
      </c>
      <c r="V20" s="161">
        <f>Bujnovci!V20+Elena!V20+Bolqrka!V20+Gorna!V20+Svishtov!V20+Rosica!V20+Gabrovo!V20+Plachkovci!V20+Sevlievo!V20+Bqla!V20+Dunav_Ruse!V20+Silistra!V20+Tutrakan!V20+Seslav!V20+Karakuz!V20+Razgrad!V20+Voden!V20</f>
        <v>79478.5</v>
      </c>
      <c r="W20" s="161">
        <f>Bujnovci!W20+Elena!W20+Bolqrka!W20+Gorna!W20+Svishtov!W20+Rosica!W20+Gabrovo!W20+Plachkovci!W20+Sevlievo!W20+Bqla!W20+Dunav_Ruse!W20+Silistra!W20+Tutrakan!W20+Seslav!W20+Karakuz!W20+Razgrad!W20+Voden!W20</f>
        <v>81802</v>
      </c>
      <c r="X20" s="161">
        <f>Bujnovci!X20+Elena!X20+Bolqrka!X20+Gorna!X20+Svishtov!X20+Rosica!X20+Gabrovo!X20+Plachkovci!X20+Sevlievo!X20+Bqla!X20+Dunav_Ruse!X20+Silistra!X20+Tutrakan!X20+Seslav!X20+Karakuz!X20+Razgrad!X20+Voden!X20</f>
        <v>16714.5</v>
      </c>
      <c r="Y20" s="161">
        <f>Bujnovci!Y20+Elena!Y20+Bolqrka!Y20+Gorna!Y20+Svishtov!Y20+Rosica!Y20+Gabrovo!Y20+Plachkovci!Y20+Sevlievo!Y20+Bqla!Y20+Dunav_Ruse!Y20+Silistra!Y20+Tutrakan!Y20+Seslav!Y20+Karakuz!Y20+Razgrad!Y20+Voden!Y20</f>
        <v>215196</v>
      </c>
      <c r="Z20" s="162"/>
      <c r="AA20" s="170" t="s">
        <v>18</v>
      </c>
      <c r="AB20" s="163">
        <f>Bujnovci!AB20+Elena!AB20+Bolqrka!AB20+Gorna!AB20+Svishtov!AB20+Rosica!AB20+Gabrovo!AB20+Plachkovci!AB20+Sevlievo!AB20+Bqla!AB20+Dunav_Ruse!AB20+Silistra!AB20+Tutrakan!AB20+Seslav!AB20+Karakuz!AB20+Razgrad!AB20+Voden!AB20</f>
        <v>1701.3</v>
      </c>
      <c r="AC20" s="161">
        <f>Bujnovci!AC20+Elena!AC20+Bolqrka!AC20+Gorna!AC20+Svishtov!AC20+Rosica!AC20+Gabrovo!AC20+Plachkovci!AC20+Sevlievo!AC20+Bqla!AC20+Dunav_Ruse!AC20+Silistra!AC20+Tutrakan!AC20+Seslav!AC20+Karakuz!AC20+Razgrad!AC20+Voden!AC20</f>
        <v>163014</v>
      </c>
      <c r="AD20" s="161">
        <f>Bujnovci!AD20+Elena!AD20+Bolqrka!AD20+Gorna!AD20+Svishtov!AD20+Rosica!AD20+Gabrovo!AD20+Plachkovci!AD20+Sevlievo!AD20+Bqla!AD20+Dunav_Ruse!AD20+Silistra!AD20+Tutrakan!AD20+Seslav!AD20+Karakuz!AD20+Razgrad!AD20+Voden!AD20</f>
        <v>149347</v>
      </c>
      <c r="AE20" s="161">
        <f>Bujnovci!AE20+Elena!AE20+Bolqrka!AE20+Gorna!AE20+Svishtov!AE20+Rosica!AE20+Gabrovo!AE20+Plachkovci!AE20+Sevlievo!AE20+Bqla!AE20+Dunav_Ruse!AE20+Silistra!AE20+Tutrakan!AE20+Seslav!AE20+Karakuz!AE20+Razgrad!AE20+Voden!AE20</f>
        <v>63916.5</v>
      </c>
      <c r="AF20" s="161">
        <f>Bujnovci!AF20+Elena!AF20+Bolqrka!AF20+Gorna!AF20+Svishtov!AF20+Rosica!AF20+Gabrovo!AF20+Plachkovci!AF20+Sevlievo!AF20+Bqla!AF20+Dunav_Ruse!AF20+Silistra!AF20+Tutrakan!AF20+Seslav!AF20+Karakuz!AF20+Razgrad!AF20+Voden!AF20</f>
        <v>26407</v>
      </c>
      <c r="AG20" s="161">
        <f>Bujnovci!AG20+Elena!AG20+Bolqrka!AG20+Gorna!AG20+Svishtov!AG20+Rosica!AG20+Gabrovo!AG20+Plachkovci!AG20+Sevlievo!AG20+Bqla!AG20+Dunav_Ruse!AG20+Silistra!AG20+Tutrakan!AG20+Seslav!AG20+Karakuz!AG20+Razgrad!AG20+Voden!AG20</f>
        <v>2937</v>
      </c>
      <c r="AH20" s="161">
        <f>Bujnovci!AH20+Elena!AH20+Bolqrka!AH20+Gorna!AH20+Svishtov!AH20+Rosica!AH20+Gabrovo!AH20+Plachkovci!AH20+Sevlievo!AH20+Bqla!AH20+Dunav_Ruse!AH20+Silistra!AH20+Tutrakan!AH20+Seslav!AH20+Karakuz!AH20+Razgrad!AH20+Voden!AH20</f>
        <v>55977</v>
      </c>
      <c r="AI20" s="166"/>
      <c r="AJ20" s="161" t="s">
        <v>18</v>
      </c>
      <c r="AK20" s="163">
        <f>Bujnovci!AK20+Elena!AK20+Bolqrka!AK20+Gorna!AK20+Svishtov!AK20+Rosica!AK20+Gabrovo!AK20+Plachkovci!AK20+Sevlievo!AK20+Bqla!AK20+Dunav_Ruse!AK20+Silistra!AK20+Tutrakan!AK20+Seslav!AK20+Karakuz!AK20+Razgrad!AK20+Voden!AK20</f>
        <v>274.5</v>
      </c>
      <c r="AL20" s="161">
        <f>Bujnovci!AL20+Elena!AL20+Bolqrka!AL20+Gorna!AL20+Svishtov!AL20+Rosica!AL20+Gabrovo!AL20+Plachkovci!AL20+Sevlievo!AL20+Bqla!AL20+Dunav_Ruse!AL20+Silistra!AL20+Tutrakan!AL20+Seslav!AL20+Karakuz!AL20+Razgrad!AL20+Voden!AL20</f>
        <v>6496</v>
      </c>
      <c r="AM20" s="161">
        <f>Bujnovci!AM20+Elena!AM20+Bolqrka!AM20+Gorna!AM20+Svishtov!AM20+Rosica!AM20+Gabrovo!AM20+Plachkovci!AM20+Sevlievo!AM20+Bqla!AM20+Dunav_Ruse!AM20+Silistra!AM20+Tutrakan!AM20+Seslav!AM20+Karakuz!AM20+Razgrad!AM20+Voden!AM20</f>
        <v>4901</v>
      </c>
      <c r="AN20" s="161">
        <f>Bujnovci!AN20+Elena!AN20+Bolqrka!AN20+Gorna!AN20+Svishtov!AN20+Rosica!AN20+Gabrovo!AN20+Plachkovci!AN20+Sevlievo!AN20+Bqla!AN20+Dunav_Ruse!AN20+Silistra!AN20+Tutrakan!AN20+Seslav!AN20+Karakuz!AN20+Razgrad!AN20+Voden!AN20</f>
        <v>280</v>
      </c>
      <c r="AO20" s="161">
        <f>Bujnovci!AO20+Elena!AO20+Bolqrka!AO20+Gorna!AO20+Svishtov!AO20+Rosica!AO20+Gabrovo!AO20+Plachkovci!AO20+Sevlievo!AO20+Bqla!AO20+Dunav_Ruse!AO20+Silistra!AO20+Tutrakan!AO20+Seslav!AO20+Karakuz!AO20+Razgrad!AO20+Voden!AO20</f>
        <v>760</v>
      </c>
      <c r="AP20" s="161">
        <f>Bujnovci!AP20+Elena!AP20+Bolqrka!AP20+Gorna!AP20+Svishtov!AP20+Rosica!AP20+Gabrovo!AP20+Plachkovci!AP20+Sevlievo!AP20+Bqla!AP20+Dunav_Ruse!AP20+Silistra!AP20+Tutrakan!AP20+Seslav!AP20+Karakuz!AP20+Razgrad!AP20+Voden!AP20</f>
        <v>404</v>
      </c>
      <c r="AQ20" s="161">
        <f>Bujnovci!AQ20+Elena!AQ20+Bolqrka!AQ20+Gorna!AQ20+Svishtov!AQ20+Rosica!AQ20+Gabrovo!AQ20+Plachkovci!AQ20+Sevlievo!AQ20+Bqla!AQ20+Dunav_Ruse!AQ20+Silistra!AQ20+Tutrakan!AQ20+Seslav!AQ20+Karakuz!AQ20+Razgrad!AQ20+Voden!AQ20</f>
        <v>3450</v>
      </c>
      <c r="AR20" s="162"/>
      <c r="AS20" s="162"/>
    </row>
    <row r="21" spans="1:45" ht="12">
      <c r="A21" s="172" t="s">
        <v>19</v>
      </c>
      <c r="B21" s="163">
        <f>Bujnovci!B21+Elena!B21+Bolqrka!B21+Gorna!B21+Svishtov!B21+Rosica!B21+Gabrovo!B21+Plachkovci!B21+Sevlievo!B21+Bqla!B21+Dunav_Ruse!B21+Silistra!B21+Tutrakan!B21+Seslav!B21+Karakuz!B21+Razgrad!B21+Voden!B21</f>
        <v>9355.7219999999998</v>
      </c>
      <c r="C21" s="161">
        <f>Bujnovci!C21+Elena!C21+Bolqrka!C21+Gorna!C21+Svishtov!C21+Rosica!C21+Gabrovo!C21+Plachkovci!C21+Sevlievo!C21+Bqla!C21+Dunav_Ruse!C21+Silistra!C21+Tutrakan!C21+Seslav!C21+Karakuz!C21+Razgrad!C21+Voden!C21</f>
        <v>535134</v>
      </c>
      <c r="D21" s="161">
        <f>Bujnovci!D21+Elena!D21+Bolqrka!D21+Gorna!D21+Svishtov!D21+Rosica!D21+Gabrovo!D21+Plachkovci!D21+Sevlievo!D21+Bqla!D21+Dunav_Ruse!D21+Silistra!D21+Tutrakan!D21+Seslav!D21+Karakuz!D21+Razgrad!D21+Voden!D21</f>
        <v>488974</v>
      </c>
      <c r="E21" s="161">
        <f>Bujnovci!E21+Elena!E21+Bolqrka!E21+Gorna!E21+Svishtov!E21+Rosica!E21+Gabrovo!E21+Plachkovci!E21+Sevlievo!E21+Bqla!E21+Dunav_Ruse!E21+Silistra!E21+Tutrakan!E21+Seslav!E21+Karakuz!E21+Razgrad!E21+Voden!E21</f>
        <v>79119</v>
      </c>
      <c r="F21" s="161">
        <f>Bujnovci!F21+Elena!F21+Bolqrka!F21+Gorna!F21+Svishtov!F21+Rosica!F21+Gabrovo!F21+Plachkovci!F21+Sevlievo!F21+Bqla!F21+Dunav_Ruse!F21+Silistra!F21+Tutrakan!F21+Seslav!F21+Karakuz!F21+Razgrad!F21+Voden!F21</f>
        <v>74998</v>
      </c>
      <c r="G21" s="161">
        <f>Bujnovci!G21+Elena!G21+Bolqrka!G21+Gorna!G21+Svishtov!G21+Rosica!G21+Gabrovo!G21+Plachkovci!G21+Sevlievo!G21+Bqla!G21+Dunav_Ruse!G21+Silistra!G21+Tutrakan!G21+Seslav!G21+Karakuz!G21+Razgrad!G21+Voden!G21</f>
        <v>15532</v>
      </c>
      <c r="H21" s="161">
        <f>Bujnovci!H21+Elena!H21+Bolqrka!H21+Gorna!H21+Svishtov!H21+Rosica!H21+Gabrovo!H21+Plachkovci!H21+Sevlievo!H21+Bqla!H21+Dunav_Ruse!H21+Silistra!H21+Tutrakan!H21+Seslav!H21+Karakuz!H21+Razgrad!H21+Voden!H21</f>
        <v>319325</v>
      </c>
      <c r="I21" s="162"/>
      <c r="J21" s="172" t="s">
        <v>19</v>
      </c>
      <c r="K21" s="163">
        <f>Bujnovci!K21+Elena!K21+Bolqrka!K21+Gorna!K21+Svishtov!K21+Rosica!K21+Gabrovo!K21+Plachkovci!K21+Sevlievo!K21+Bqla!K21+Dunav_Ruse!K21+Silistra!K21+Tutrakan!K21+Seslav!K21+Karakuz!K21+Razgrad!K21+Voden!K21</f>
        <v>3515.3499999999995</v>
      </c>
      <c r="L21" s="161">
        <f>Bujnovci!L21+Elena!L21+Bolqrka!L21+Gorna!L21+Svishtov!L21+Rosica!L21+Gabrovo!L21+Plachkovci!L21+Sevlievo!L21+Bqla!L21+Dunav_Ruse!L21+Silistra!L21+Tutrakan!L21+Seslav!L21+Karakuz!L21+Razgrad!L21+Voden!L21</f>
        <v>155927</v>
      </c>
      <c r="M21" s="161">
        <f>Bujnovci!M21+Elena!M21+Bolqrka!M21+Gorna!M21+Svishtov!M21+Rosica!M21+Gabrovo!M21+Plachkovci!M21+Sevlievo!M21+Bqla!M21+Dunav_Ruse!M21+Silistra!M21+Tutrakan!M21+Seslav!M21+Karakuz!M21+Razgrad!M21+Voden!M21</f>
        <v>140573</v>
      </c>
      <c r="N21" s="161">
        <f>Bujnovci!N21+Elena!N21+Bolqrka!N21+Gorna!N21+Svishtov!N21+Rosica!N21+Gabrovo!N21+Plachkovci!N21+Sevlievo!N21+Bqla!N21+Dunav_Ruse!N21+Silistra!N21+Tutrakan!N21+Seslav!N21+Karakuz!N21+Razgrad!N21+Voden!N21</f>
        <v>14986</v>
      </c>
      <c r="O21" s="161">
        <f>Bujnovci!O21+Elena!O21+Bolqrka!O21+Gorna!O21+Svishtov!O21+Rosica!O21+Gabrovo!O21+Plachkovci!O21+Sevlievo!O21+Bqla!O21+Dunav_Ruse!O21+Silistra!O21+Tutrakan!O21+Seslav!O21+Karakuz!O21+Razgrad!O21+Voden!O21</f>
        <v>18592</v>
      </c>
      <c r="P21" s="161">
        <f>Bujnovci!P21+Elena!P21+Bolqrka!P21+Gorna!P21+Svishtov!P21+Rosica!P21+Gabrovo!P21+Plachkovci!P21+Sevlievo!P21+Bqla!P21+Dunav_Ruse!P21+Silistra!P21+Tutrakan!P21+Seslav!P21+Karakuz!P21+Razgrad!P21+Voden!P21</f>
        <v>2901</v>
      </c>
      <c r="Q21" s="161">
        <f>Bujnovci!Q21+Elena!Q21+Bolqrka!Q21+Gorna!Q21+Svishtov!Q21+Rosica!Q21+Gabrovo!Q21+Plachkovci!Q21+Sevlievo!Q21+Bqla!Q21+Dunav_Ruse!Q21+Silistra!Q21+Tutrakan!Q21+Seslav!Q21+Karakuz!Q21+Razgrad!Q21+Voden!Q21</f>
        <v>104095</v>
      </c>
      <c r="R21" s="172" t="s">
        <v>19</v>
      </c>
      <c r="S21" s="163">
        <f>Bujnovci!S21+Elena!S21+Bolqrka!S21+Gorna!S21+Svishtov!S21+Rosica!S21+Gabrovo!S21+Plachkovci!S21+Sevlievo!S21+Bqla!S21+Dunav_Ruse!S21+Silistra!S21+Tutrakan!S21+Seslav!S21+Karakuz!S21+Razgrad!S21+Voden!S21</f>
        <v>5771.4</v>
      </c>
      <c r="T21" s="161">
        <f>Bujnovci!T21+Elena!T21+Bolqrka!T21+Gorna!T21+Svishtov!T21+Rosica!T21+Gabrovo!T21+Plachkovci!T21+Sevlievo!T21+Bqla!T21+Dunav_Ruse!T21+Silistra!T21+Tutrakan!T21+Seslav!T21+Karakuz!T21+Razgrad!T21+Voden!T21</f>
        <v>375218</v>
      </c>
      <c r="U21" s="161">
        <f>Bujnovci!U21+Elena!U21+Bolqrka!U21+Gorna!U21+Svishtov!U21+Rosica!U21+Gabrovo!U21+Plachkovci!U21+Sevlievo!U21+Bqla!U21+Dunav_Ruse!U21+Silistra!U21+Tutrakan!U21+Seslav!U21+Karakuz!U21+Razgrad!U21+Voden!U21</f>
        <v>344659</v>
      </c>
      <c r="V21" s="161">
        <f>Bujnovci!V21+Elena!V21+Bolqrka!V21+Gorna!V21+Svishtov!V21+Rosica!V21+Gabrovo!V21+Plachkovci!V21+Sevlievo!V21+Bqla!V21+Dunav_Ruse!V21+Silistra!V21+Tutrakan!V21+Seslav!V21+Karakuz!V21+Razgrad!V21+Voden!V21</f>
        <v>63636</v>
      </c>
      <c r="W21" s="161">
        <f>Bujnovci!W21+Elena!W21+Bolqrka!W21+Gorna!W21+Svishtov!W21+Rosica!W21+Gabrovo!W21+Plachkovci!W21+Sevlievo!W21+Bqla!W21+Dunav_Ruse!W21+Silistra!W21+Tutrakan!W21+Seslav!W21+Karakuz!W21+Razgrad!W21+Voden!W21</f>
        <v>56128</v>
      </c>
      <c r="X21" s="161">
        <f>Bujnovci!X21+Elena!X21+Bolqrka!X21+Gorna!X21+Svishtov!X21+Rosica!X21+Gabrovo!X21+Plachkovci!X21+Sevlievo!X21+Bqla!X21+Dunav_Ruse!X21+Silistra!X21+Tutrakan!X21+Seslav!X21+Karakuz!X21+Razgrad!X21+Voden!X21</f>
        <v>12599</v>
      </c>
      <c r="Y21" s="161">
        <f>Bujnovci!Y21+Elena!Y21+Bolqrka!Y21+Gorna!Y21+Svishtov!Y21+Rosica!Y21+Gabrovo!Y21+Plachkovci!Y21+Sevlievo!Y21+Bqla!Y21+Dunav_Ruse!Y21+Silistra!Y21+Tutrakan!Y21+Seslav!Y21+Karakuz!Y21+Razgrad!Y21+Voden!Y21</f>
        <v>212296</v>
      </c>
      <c r="Z21" s="162"/>
      <c r="AA21" s="172" t="s">
        <v>19</v>
      </c>
      <c r="AB21" s="163">
        <f>Bujnovci!AB21+Elena!AB21+Bolqrka!AB21+Gorna!AB21+Svishtov!AB21+Rosica!AB21+Gabrovo!AB21+Plachkovci!AB21+Sevlievo!AB21+Bqla!AB21+Dunav_Ruse!AB21+Silistra!AB21+Tutrakan!AB21+Seslav!AB21+Karakuz!AB21+Razgrad!AB21+Voden!AB21</f>
        <v>1077.4000000000001</v>
      </c>
      <c r="AC21" s="161">
        <f>Bujnovci!AC21+Elena!AC21+Bolqrka!AC21+Gorna!AC21+Svishtov!AC21+Rosica!AC21+Gabrovo!AC21+Plachkovci!AC21+Sevlievo!AC21+Bqla!AC21+Dunav_Ruse!AC21+Silistra!AC21+Tutrakan!AC21+Seslav!AC21+Karakuz!AC21+Razgrad!AC21+Voden!AC21</f>
        <v>96078</v>
      </c>
      <c r="AD21" s="161">
        <f>Bujnovci!AD21+Elena!AD21+Bolqrka!AD21+Gorna!AD21+Svishtov!AD21+Rosica!AD21+Gabrovo!AD21+Plachkovci!AD21+Sevlievo!AD21+Bqla!AD21+Dunav_Ruse!AD21+Silistra!AD21+Tutrakan!AD21+Seslav!AD21+Karakuz!AD21+Razgrad!AD21+Voden!AD21</f>
        <v>88940</v>
      </c>
      <c r="AE21" s="161">
        <f>Bujnovci!AE21+Elena!AE21+Bolqrka!AE21+Gorna!AE21+Svishtov!AE21+Rosica!AE21+Gabrovo!AE21+Plachkovci!AE21+Sevlievo!AE21+Bqla!AE21+Dunav_Ruse!AE21+Silistra!AE21+Tutrakan!AE21+Seslav!AE21+Karakuz!AE21+Razgrad!AE21+Voden!AE21</f>
        <v>38979</v>
      </c>
      <c r="AF21" s="161">
        <f>Bujnovci!AF21+Elena!AF21+Bolqrka!AF21+Gorna!AF21+Svishtov!AF21+Rosica!AF21+Gabrovo!AF21+Plachkovci!AF21+Sevlievo!AF21+Bqla!AF21+Dunav_Ruse!AF21+Silistra!AF21+Tutrakan!AF21+Seslav!AF21+Karakuz!AF21+Razgrad!AF21+Voden!AF21</f>
        <v>8720</v>
      </c>
      <c r="AG21" s="161">
        <f>Bujnovci!AG21+Elena!AG21+Bolqrka!AG21+Gorna!AG21+Svishtov!AG21+Rosica!AG21+Gabrovo!AG21+Plachkovci!AG21+Sevlievo!AG21+Bqla!AG21+Dunav_Ruse!AG21+Silistra!AG21+Tutrakan!AG21+Seslav!AG21+Karakuz!AG21+Razgrad!AG21+Voden!AG21</f>
        <v>1833</v>
      </c>
      <c r="AH21" s="161">
        <f>Bujnovci!AH21+Elena!AH21+Bolqrka!AH21+Gorna!AH21+Svishtov!AH21+Rosica!AH21+Gabrovo!AH21+Plachkovci!AH21+Sevlievo!AH21+Bqla!AH21+Dunav_Ruse!AH21+Silistra!AH21+Tutrakan!AH21+Seslav!AH21+Karakuz!AH21+Razgrad!AH21+Voden!AH21</f>
        <v>39408</v>
      </c>
      <c r="AI21" s="166"/>
      <c r="AJ21" s="161" t="s">
        <v>19</v>
      </c>
      <c r="AK21" s="163">
        <f>Bujnovci!AK21+Elena!AK21+Bolqrka!AK21+Gorna!AK21+Svishtov!AK21+Rosica!AK21+Gabrovo!AK21+Plachkovci!AK21+Sevlievo!AK21+Bqla!AK21+Dunav_Ruse!AK21+Silistra!AK21+Tutrakan!AK21+Seslav!AK21+Karakuz!AK21+Razgrad!AK21+Voden!AK21</f>
        <v>68.971999999999994</v>
      </c>
      <c r="AL21" s="161">
        <f>Bujnovci!AL21+Elena!AL21+Bolqrka!AL21+Gorna!AL21+Svishtov!AL21+Rosica!AL21+Gabrovo!AL21+Plachkovci!AL21+Sevlievo!AL21+Bqla!AL21+Dunav_Ruse!AL21+Silistra!AL21+Tutrakan!AL21+Seslav!AL21+Karakuz!AL21+Razgrad!AL21+Voden!AL21</f>
        <v>3989</v>
      </c>
      <c r="AM21" s="161">
        <f>Bujnovci!AM21+Elena!AM21+Bolqrka!AM21+Gorna!AM21+Svishtov!AM21+Rosica!AM21+Gabrovo!AM21+Plachkovci!AM21+Sevlievo!AM21+Bqla!AM21+Dunav_Ruse!AM21+Silistra!AM21+Tutrakan!AM21+Seslav!AM21+Karakuz!AM21+Razgrad!AM21+Voden!AM21</f>
        <v>3741</v>
      </c>
      <c r="AN21" s="161">
        <f>Bujnovci!AN21+Elena!AN21+Bolqrka!AN21+Gorna!AN21+Svishtov!AN21+Rosica!AN21+Gabrovo!AN21+Plachkovci!AN21+Sevlievo!AN21+Bqla!AN21+Dunav_Ruse!AN21+Silistra!AN21+Tutrakan!AN21+Seslav!AN21+Karakuz!AN21+Razgrad!AN21+Voden!AN21</f>
        <v>497</v>
      </c>
      <c r="AO21" s="161">
        <f>Bujnovci!AO21+Elena!AO21+Bolqrka!AO21+Gorna!AO21+Svishtov!AO21+Rosica!AO21+Gabrovo!AO21+Plachkovci!AO21+Sevlievo!AO21+Bqla!AO21+Dunav_Ruse!AO21+Silistra!AO21+Tutrakan!AO21+Seslav!AO21+Karakuz!AO21+Razgrad!AO21+Voden!AO21</f>
        <v>278</v>
      </c>
      <c r="AP21" s="161">
        <f>Bujnovci!AP21+Elena!AP21+Bolqrka!AP21+Gorna!AP21+Svishtov!AP21+Rosica!AP21+Gabrovo!AP21+Plachkovci!AP21+Sevlievo!AP21+Bqla!AP21+Dunav_Ruse!AP21+Silistra!AP21+Tutrakan!AP21+Seslav!AP21+Karakuz!AP21+Razgrad!AP21+Voden!AP21</f>
        <v>32</v>
      </c>
      <c r="AQ21" s="161">
        <f>Bujnovci!AQ21+Elena!AQ21+Bolqrka!AQ21+Gorna!AQ21+Svishtov!AQ21+Rosica!AQ21+Gabrovo!AQ21+Plachkovci!AQ21+Sevlievo!AQ21+Bqla!AQ21+Dunav_Ruse!AQ21+Silistra!AQ21+Tutrakan!AQ21+Seslav!AQ21+Karakuz!AQ21+Razgrad!AQ21+Voden!AQ21</f>
        <v>2934</v>
      </c>
      <c r="AR21" s="162"/>
      <c r="AS21" s="162"/>
    </row>
    <row r="22" spans="1:45" ht="12">
      <c r="A22" s="170" t="s">
        <v>20</v>
      </c>
      <c r="B22" s="161">
        <f t="shared" ref="B22:H22" si="10">B21/B20*100</f>
        <v>89.252653761725753</v>
      </c>
      <c r="C22" s="161">
        <f t="shared" si="10"/>
        <v>91.271278151630995</v>
      </c>
      <c r="D22" s="161">
        <f t="shared" si="10"/>
        <v>97.124543525133049</v>
      </c>
      <c r="E22" s="161">
        <f t="shared" si="10"/>
        <v>90.079925311959201</v>
      </c>
      <c r="F22" s="161">
        <f t="shared" si="10"/>
        <v>69.575301037163484</v>
      </c>
      <c r="G22" s="161">
        <f t="shared" si="10"/>
        <v>66.703886622289033</v>
      </c>
      <c r="H22" s="161">
        <f t="shared" si="10"/>
        <v>112.59736458873269</v>
      </c>
      <c r="I22" s="162"/>
      <c r="J22" s="170" t="s">
        <v>20</v>
      </c>
      <c r="K22" s="161">
        <f t="shared" ref="K22:Q22" si="11">K21/K20*100</f>
        <v>102.74775380406507</v>
      </c>
      <c r="L22" s="161">
        <f t="shared" si="11"/>
        <v>124.25006673599242</v>
      </c>
      <c r="M22" s="161">
        <f t="shared" si="11"/>
        <v>134.14286191414544</v>
      </c>
      <c r="N22" s="161">
        <f t="shared" si="11"/>
        <v>185.61961974360563</v>
      </c>
      <c r="O22" s="161">
        <f t="shared" si="11"/>
        <v>73.68421052631578</v>
      </c>
      <c r="P22" s="161">
        <f t="shared" si="11"/>
        <v>47.044514716613961</v>
      </c>
      <c r="Q22" s="161">
        <f t="shared" si="11"/>
        <v>160.26203562576015</v>
      </c>
      <c r="R22" s="170" t="s">
        <v>20</v>
      </c>
      <c r="S22" s="161">
        <f t="shared" ref="S22:Y22" si="12">S21/S20*100</f>
        <v>85.042990075812824</v>
      </c>
      <c r="T22" s="161">
        <f t="shared" si="12"/>
        <v>82.58874232095809</v>
      </c>
      <c r="U22" s="161">
        <f t="shared" si="12"/>
        <v>87.531110637044264</v>
      </c>
      <c r="V22" s="161">
        <f t="shared" si="12"/>
        <v>80.066936341274683</v>
      </c>
      <c r="W22" s="161">
        <f t="shared" si="12"/>
        <v>68.614459304173494</v>
      </c>
      <c r="X22" s="161">
        <f t="shared" si="12"/>
        <v>75.37766609829788</v>
      </c>
      <c r="Y22" s="161">
        <f t="shared" si="12"/>
        <v>98.65239130838863</v>
      </c>
      <c r="Z22" s="162"/>
      <c r="AA22" s="170" t="s">
        <v>20</v>
      </c>
      <c r="AB22" s="161">
        <f t="shared" ref="AB22:AH22" si="13">AB21/AB20*100</f>
        <v>63.328043261035681</v>
      </c>
      <c r="AC22" s="161">
        <f t="shared" si="13"/>
        <v>58.938496080091284</v>
      </c>
      <c r="AD22" s="161">
        <f t="shared" si="13"/>
        <v>59.55258558926527</v>
      </c>
      <c r="AE22" s="161">
        <f t="shared" si="13"/>
        <v>60.98425289244561</v>
      </c>
      <c r="AF22" s="161">
        <f t="shared" si="13"/>
        <v>33.021547316999275</v>
      </c>
      <c r="AG22" s="161">
        <f t="shared" si="13"/>
        <v>62.41062308478039</v>
      </c>
      <c r="AH22" s="161">
        <f t="shared" si="13"/>
        <v>70.400342998017038</v>
      </c>
      <c r="AI22" s="169"/>
      <c r="AJ22" s="200" t="s">
        <v>20</v>
      </c>
      <c r="AK22" s="161">
        <f t="shared" ref="AK22:AQ22" si="14">AK21/AK20*100</f>
        <v>25.126411657559196</v>
      </c>
      <c r="AL22" s="161">
        <f t="shared" si="14"/>
        <v>61.407019704433495</v>
      </c>
      <c r="AM22" s="161">
        <f t="shared" si="14"/>
        <v>76.331360946745562</v>
      </c>
      <c r="AN22" s="161">
        <f t="shared" si="14"/>
        <v>177.5</v>
      </c>
      <c r="AO22" s="161">
        <f t="shared" si="14"/>
        <v>36.578947368421055</v>
      </c>
      <c r="AP22" s="161">
        <f t="shared" si="14"/>
        <v>7.9207920792079207</v>
      </c>
      <c r="AQ22" s="161">
        <f t="shared" si="14"/>
        <v>85.043478260869563</v>
      </c>
      <c r="AR22" s="162"/>
      <c r="AS22" s="162"/>
    </row>
    <row r="23" spans="1:45" ht="12">
      <c r="A23" s="160" t="s">
        <v>21</v>
      </c>
      <c r="B23" s="163">
        <f>Bujnovci!B23+Elena!B23+Bolqrka!B23+Gorna!B23+Svishtov!B23+Rosica!B23+Gabrovo!B23+Plachkovci!B23+Sevlievo!B23+Bqla!B23+Dunav_Ruse!B23+Silistra!B23+Tutrakan!B23+Seslav!B23+Karakuz!B23+Razgrad!B23+Voden!B23</f>
        <v>1788.16</v>
      </c>
      <c r="C23" s="161">
        <f>Bujnovci!C23+Elena!C23+Bolqrka!C23+Gorna!C23+Svishtov!C23+Rosica!C23+Gabrovo!C23+Plachkovci!C23+Sevlievo!C23+Bqla!C23+Dunav_Ruse!C23+Silistra!C23+Tutrakan!C23+Seslav!C23+Karakuz!C23+Razgrad!C23+Voden!C23</f>
        <v>102763</v>
      </c>
      <c r="D23" s="161">
        <f>Bujnovci!D23+Elena!D23+Bolqrka!D23+Gorna!D23+Svishtov!D23+Rosica!D23+Gabrovo!D23+Plachkovci!D23+Sevlievo!D23+Bqla!D23+Dunav_Ruse!D23+Silistra!D23+Tutrakan!D23+Seslav!D23+Karakuz!D23+Razgrad!D23+Voden!D23</f>
        <v>86136</v>
      </c>
      <c r="E23" s="161">
        <f>Bujnovci!E23+Elena!E23+Bolqrka!E23+Gorna!E23+Svishtov!E23+Rosica!E23+Gabrovo!E23+Plachkovci!E23+Sevlievo!E23+Bqla!E23+Dunav_Ruse!E23+Silistra!E23+Tutrakan!E23+Seslav!E23+Karakuz!E23+Razgrad!E23+Voden!E23</f>
        <v>21456</v>
      </c>
      <c r="F23" s="161">
        <f>Bujnovci!F23+Elena!F23+Bolqrka!F23+Gorna!F23+Svishtov!F23+Rosica!F23+Gabrovo!F23+Plachkovci!F23+Sevlievo!F23+Bqla!F23+Dunav_Ruse!F23+Silistra!F23+Tutrakan!F23+Seslav!F23+Karakuz!F23+Razgrad!F23+Voden!F23</f>
        <v>10287.5</v>
      </c>
      <c r="G23" s="161">
        <f>Bujnovci!G23+Elena!G23+Bolqrka!G23+Gorna!G23+Svishtov!G23+Rosica!G23+Gabrovo!G23+Plachkovci!G23+Sevlievo!G23+Bqla!G23+Dunav_Ruse!G23+Silistra!G23+Tutrakan!G23+Seslav!G23+Karakuz!G23+Razgrad!G23+Voden!G23</f>
        <v>2673</v>
      </c>
      <c r="H23" s="161">
        <f>Bujnovci!H23+Elena!H23+Bolqrka!H23+Gorna!H23+Svishtov!H23+Rosica!H23+Gabrovo!H23+Plachkovci!H23+Sevlievo!H23+Bqla!H23+Dunav_Ruse!H23+Silistra!H23+Tutrakan!H23+Seslav!H23+Karakuz!H23+Razgrad!H23+Voden!H23</f>
        <v>51535.5</v>
      </c>
      <c r="I23" s="162"/>
      <c r="J23" s="160" t="s">
        <v>21</v>
      </c>
      <c r="K23" s="163">
        <f>Bujnovci!K23+Elena!K23+Bolqrka!K23+Gorna!K23+Svishtov!K23+Rosica!K23+Gabrovo!K23+Plachkovci!K23+Sevlievo!K23+Bqla!K23+Dunav_Ruse!K23+Silistra!K23+Tutrakan!K23+Seslav!K23+Karakuz!K23+Razgrad!K23+Voden!K23</f>
        <v>952.75</v>
      </c>
      <c r="L23" s="161">
        <f>Bujnovci!L23+Elena!L23+Bolqrka!L23+Gorna!L23+Svishtov!L23+Rosica!L23+Gabrovo!L23+Plachkovci!L23+Sevlievo!L23+Bqla!L23+Dunav_Ruse!L23+Silistra!L23+Tutrakan!L23+Seslav!L23+Karakuz!L23+Razgrad!L23+Voden!L23</f>
        <v>41147.5</v>
      </c>
      <c r="M23" s="161">
        <f>Bujnovci!M23+Elena!M23+Bolqrka!M23+Gorna!M23+Svishtov!M23+Rosica!M23+Gabrovo!M23+Plachkovci!M23+Sevlievo!M23+Bqla!M23+Dunav_Ruse!M23+Silistra!M23+Tutrakan!M23+Seslav!M23+Karakuz!M23+Razgrad!M23+Voden!M23</f>
        <v>33892</v>
      </c>
      <c r="N23" s="161">
        <f>Bujnovci!N23+Elena!N23+Bolqrka!N23+Gorna!N23+Svishtov!N23+Rosica!N23+Gabrovo!N23+Plachkovci!N23+Sevlievo!N23+Bqla!N23+Dunav_Ruse!N23+Silistra!N23+Tutrakan!N23+Seslav!N23+Karakuz!N23+Razgrad!N23+Voden!N23</f>
        <v>2753</v>
      </c>
      <c r="O23" s="161">
        <f>Bujnovci!O23+Elena!O23+Bolqrka!O23+Gorna!O23+Svishtov!O23+Rosica!O23+Gabrovo!O23+Plachkovci!O23+Sevlievo!O23+Bqla!O23+Dunav_Ruse!O23+Silistra!O23+Tutrakan!O23+Seslav!O23+Karakuz!O23+Razgrad!O23+Voden!O23</f>
        <v>6218.5</v>
      </c>
      <c r="P23" s="161">
        <f>Bujnovci!P23+Elena!P23+Bolqrka!P23+Gorna!P23+Svishtov!P23+Rosica!P23+Gabrovo!P23+Plachkovci!P23+Sevlievo!P23+Bqla!P23+Dunav_Ruse!P23+Silistra!P23+Tutrakan!P23+Seslav!P23+Karakuz!P23+Razgrad!P23+Voden!P23</f>
        <v>1673</v>
      </c>
      <c r="Q23" s="161">
        <f>Bujnovci!Q23+Elena!Q23+Bolqrka!Q23+Gorna!Q23+Svishtov!Q23+Rosica!Q23+Gabrovo!Q23+Plachkovci!Q23+Sevlievo!Q23+Bqla!Q23+Dunav_Ruse!Q23+Silistra!Q23+Tutrakan!Q23+Seslav!Q23+Karakuz!Q23+Razgrad!Q23+Voden!Q23</f>
        <v>23108.5</v>
      </c>
      <c r="R23" s="160" t="s">
        <v>21</v>
      </c>
      <c r="S23" s="163">
        <f>Bujnovci!S23+Elena!S23+Bolqrka!S23+Gorna!S23+Svishtov!S23+Rosica!S23+Gabrovo!S23+Plachkovci!S23+Sevlievo!S23+Bqla!S23+Dunav_Ruse!S23+Silistra!S23+Tutrakan!S23+Seslav!S23+Karakuz!S23+Razgrad!S23+Voden!S23</f>
        <v>823.6099999999999</v>
      </c>
      <c r="T23" s="161">
        <f>Bujnovci!T23+Elena!T23+Bolqrka!T23+Gorna!T23+Svishtov!T23+Rosica!T23+Gabrovo!T23+Plachkovci!T23+Sevlievo!T23+Bqla!T23+Dunav_Ruse!T23+Silistra!T23+Tutrakan!T23+Seslav!T23+Karakuz!T23+Razgrad!T23+Voden!T23</f>
        <v>60238.5</v>
      </c>
      <c r="U23" s="161">
        <f>Bujnovci!U23+Elena!U23+Bolqrka!U23+Gorna!U23+Svishtov!U23+Rosica!U23+Gabrovo!U23+Plachkovci!U23+Sevlievo!U23+Bqla!U23+Dunav_Ruse!U23+Silistra!U23+Tutrakan!U23+Seslav!U23+Karakuz!U23+Razgrad!U23+Voden!U23</f>
        <v>51397</v>
      </c>
      <c r="V23" s="161">
        <f>Bujnovci!V23+Elena!V23+Bolqrka!V23+Gorna!V23+Svishtov!V23+Rosica!V23+Gabrovo!V23+Plachkovci!V23+Sevlievo!V23+Bqla!V23+Dunav_Ruse!V23+Silistra!V23+Tutrakan!V23+Seslav!V23+Karakuz!V23+Razgrad!V23+Voden!V23</f>
        <v>18629</v>
      </c>
      <c r="W23" s="161">
        <f>Bujnovci!W23+Elena!W23+Bolqrka!W23+Gorna!W23+Svishtov!W23+Rosica!W23+Gabrovo!W23+Plachkovci!W23+Sevlievo!W23+Bqla!W23+Dunav_Ruse!W23+Silistra!W23+Tutrakan!W23+Seslav!W23+Karakuz!W23+Razgrad!W23+Voden!W23</f>
        <v>3863</v>
      </c>
      <c r="X23" s="161">
        <f>Bujnovci!X23+Elena!X23+Bolqrka!X23+Gorna!X23+Svishtov!X23+Rosica!X23+Gabrovo!X23+Plachkovci!X23+Sevlievo!X23+Bqla!X23+Dunav_Ruse!X23+Silistra!X23+Tutrakan!X23+Seslav!X23+Karakuz!X23+Razgrad!X23+Voden!X23</f>
        <v>890</v>
      </c>
      <c r="Y23" s="161">
        <f>Bujnovci!Y23+Elena!Y23+Bolqrka!Y23+Gorna!Y23+Svishtov!Y23+Rosica!Y23+Gabrovo!Y23+Plachkovci!Y23+Sevlievo!Y23+Bqla!Y23+Dunav_Ruse!Y23+Silistra!Y23+Tutrakan!Y23+Seslav!Y23+Karakuz!Y23+Razgrad!Y23+Voden!Y23</f>
        <v>27970</v>
      </c>
      <c r="Z23" s="162"/>
      <c r="AA23" s="160" t="s">
        <v>21</v>
      </c>
      <c r="AB23" s="163">
        <f>Bujnovci!AB23+Elena!AB23+Bolqrka!AB23+Gorna!AB23+Svishtov!AB23+Rosica!AB23+Gabrovo!AB23+Plachkovci!AB23+Sevlievo!AB23+Bqla!AB23+Dunav_Ruse!AB23+Silistra!AB23+Tutrakan!AB23+Seslav!AB23+Karakuz!AB23+Razgrad!AB23+Voden!AB23</f>
        <v>737.03</v>
      </c>
      <c r="AC23" s="161">
        <f>Bujnovci!AC23+Elena!AC23+Bolqrka!AC23+Gorna!AC23+Svishtov!AC23+Rosica!AC23+Gabrovo!AC23+Plachkovci!AC23+Sevlievo!AC23+Bqla!AC23+Dunav_Ruse!AC23+Silistra!AC23+Tutrakan!AC23+Seslav!AC23+Karakuz!AC23+Razgrad!AC23+Voden!AC23</f>
        <v>56708.5</v>
      </c>
      <c r="AD23" s="161">
        <f>Bujnovci!AD23+Elena!AD23+Bolqrka!AD23+Gorna!AD23+Svishtov!AD23+Rosica!AD23+Gabrovo!AD23+Plachkovci!AD23+Sevlievo!AD23+Bqla!AD23+Dunav_Ruse!AD23+Silistra!AD23+Tutrakan!AD23+Seslav!AD23+Karakuz!AD23+Razgrad!AD23+Voden!AD23</f>
        <v>48456.5</v>
      </c>
      <c r="AE23" s="161">
        <f>Bujnovci!AE23+Elena!AE23+Bolqrka!AE23+Gorna!AE23+Svishtov!AE23+Rosica!AE23+Gabrovo!AE23+Plachkovci!AE23+Sevlievo!AE23+Bqla!AE23+Dunav_Ruse!AE23+Silistra!AE23+Tutrakan!AE23+Seslav!AE23+Karakuz!AE23+Razgrad!AE23+Voden!AE23</f>
        <v>18306</v>
      </c>
      <c r="AF23" s="161">
        <f>Bujnovci!AF23+Elena!AF23+Bolqrka!AF23+Gorna!AF23+Svishtov!AF23+Rosica!AF23+Gabrovo!AF23+Plachkovci!AF23+Sevlievo!AF23+Bqla!AF23+Dunav_Ruse!AF23+Silistra!AF23+Tutrakan!AF23+Seslav!AF23+Karakuz!AF23+Razgrad!AF23+Voden!AF23</f>
        <v>3156</v>
      </c>
      <c r="AG23" s="161">
        <f>Bujnovci!AG23+Elena!AG23+Bolqrka!AG23+Gorna!AG23+Svishtov!AG23+Rosica!AG23+Gabrovo!AG23+Plachkovci!AG23+Sevlievo!AG23+Bqla!AG23+Dunav_Ruse!AG23+Silistra!AG23+Tutrakan!AG23+Seslav!AG23+Karakuz!AG23+Razgrad!AG23+Voden!AG23</f>
        <v>805.5</v>
      </c>
      <c r="AH23" s="161">
        <f>Bujnovci!AH23+Elena!AH23+Bolqrka!AH23+Gorna!AH23+Svishtov!AH23+Rosica!AH23+Gabrovo!AH23+Plachkovci!AH23+Sevlievo!AH23+Bqla!AH23+Dunav_Ruse!AH23+Silistra!AH23+Tutrakan!AH23+Seslav!AH23+Karakuz!AH23+Razgrad!AH23+Voden!AH23</f>
        <v>26151.5</v>
      </c>
      <c r="AI23" s="166"/>
      <c r="AJ23" s="161" t="s">
        <v>21</v>
      </c>
      <c r="AK23" s="163">
        <f>Bujnovci!AK23+Elena!AK23+Bolqrka!AK23+Gorna!AK23+Svishtov!AK23+Rosica!AK23+Gabrovo!AK23+Plachkovci!AK23+Sevlievo!AK23+Bqla!AK23+Dunav_Ruse!AK23+Silistra!AK23+Tutrakan!AK23+Seslav!AK23+Karakuz!AK23+Razgrad!AK23+Voden!AK23</f>
        <v>11.8</v>
      </c>
      <c r="AL23" s="161">
        <f>Bujnovci!AL23+Elena!AL23+Bolqrka!AL23+Gorna!AL23+Svishtov!AL23+Rosica!AL23+Gabrovo!AL23+Plachkovci!AL23+Sevlievo!AL23+Bqla!AL23+Dunav_Ruse!AL23+Silistra!AL23+Tutrakan!AL23+Seslav!AL23+Karakuz!AL23+Razgrad!AL23+Voden!AL23</f>
        <v>1377</v>
      </c>
      <c r="AM23" s="161">
        <f>Bujnovci!AM23+Elena!AM23+Bolqrka!AM23+Gorna!AM23+Svishtov!AM23+Rosica!AM23+Gabrovo!AM23+Plachkovci!AM23+Sevlievo!AM23+Bqla!AM23+Dunav_Ruse!AM23+Silistra!AM23+Tutrakan!AM23+Seslav!AM23+Karakuz!AM23+Razgrad!AM23+Voden!AM23</f>
        <v>847</v>
      </c>
      <c r="AN23" s="161">
        <f>Bujnovci!AN23+Elena!AN23+Bolqrka!AN23+Gorna!AN23+Svishtov!AN23+Rosica!AN23+Gabrovo!AN23+Plachkovci!AN23+Sevlievo!AN23+Bqla!AN23+Dunav_Ruse!AN23+Silistra!AN23+Tutrakan!AN23+Seslav!AN23+Karakuz!AN23+Razgrad!AN23+Voden!AN23</f>
        <v>74</v>
      </c>
      <c r="AO23" s="161">
        <f>Bujnovci!AO23+Elena!AO23+Bolqrka!AO23+Gorna!AO23+Svishtov!AO23+Rosica!AO23+Gabrovo!AO23+Plachkovci!AO23+Sevlievo!AO23+Bqla!AO23+Dunav_Ruse!AO23+Silistra!AO23+Tutrakan!AO23+Seslav!AO23+Karakuz!AO23+Razgrad!AO23+Voden!AO23</f>
        <v>206</v>
      </c>
      <c r="AP23" s="161">
        <f>Bujnovci!AP23+Elena!AP23+Bolqrka!AP23+Gorna!AP23+Svishtov!AP23+Rosica!AP23+Gabrovo!AP23+Plachkovci!AP23+Sevlievo!AP23+Bqla!AP23+Dunav_Ruse!AP23+Silistra!AP23+Tutrakan!AP23+Seslav!AP23+Karakuz!AP23+Razgrad!AP23+Voden!AP23</f>
        <v>110</v>
      </c>
      <c r="AQ23" s="161">
        <f>Bujnovci!AQ23+Elena!AQ23+Bolqrka!AQ23+Gorna!AQ23+Svishtov!AQ23+Rosica!AQ23+Gabrovo!AQ23+Plachkovci!AQ23+Sevlievo!AQ23+Bqla!AQ23+Dunav_Ruse!AQ23+Silistra!AQ23+Tutrakan!AQ23+Seslav!AQ23+Karakuz!AQ23+Razgrad!AQ23+Voden!AQ23</f>
        <v>457</v>
      </c>
      <c r="AR23" s="162"/>
      <c r="AS23" s="162"/>
    </row>
    <row r="24" spans="1:45" ht="12">
      <c r="A24" s="160" t="s">
        <v>22</v>
      </c>
      <c r="B24" s="163">
        <f>Bujnovci!B24+Elena!B24+Bolqrka!B24+Gorna!B24+Svishtov!B24+Rosica!B24+Gabrovo!B24+Plachkovci!B24+Sevlievo!B24+Bqla!B24+Dunav_Ruse!B24+Silistra!B24+Tutrakan!B24+Seslav!B24+Karakuz!B24+Razgrad!B24+Voden!B24</f>
        <v>1534.0719999999999</v>
      </c>
      <c r="C24" s="161">
        <f>Bujnovci!C24+Elena!C24+Bolqrka!C24+Gorna!C24+Svishtov!C24+Rosica!C24+Gabrovo!C24+Plachkovci!C24+Sevlievo!C24+Bqla!C24+Dunav_Ruse!C24+Silistra!C24+Tutrakan!C24+Seslav!C24+Karakuz!C24+Razgrad!C24+Voden!C24</f>
        <v>75271</v>
      </c>
      <c r="D24" s="161">
        <f>Bujnovci!D24+Elena!D24+Bolqrka!D24+Gorna!D24+Svishtov!D24+Rosica!D24+Gabrovo!D24+Plachkovci!D24+Sevlievo!D24+Bqla!D24+Dunav_Ruse!D24+Silistra!D24+Tutrakan!D24+Seslav!D24+Karakuz!D24+Razgrad!D24+Voden!D24</f>
        <v>67952</v>
      </c>
      <c r="E24" s="161">
        <f>Bujnovci!E24+Elena!E24+Bolqrka!E24+Gorna!E24+Svishtov!E24+Rosica!E24+Gabrovo!E24+Plachkovci!E24+Sevlievo!E24+Bqla!E24+Dunav_Ruse!E24+Silistra!E24+Tutrakan!E24+Seslav!E24+Karakuz!E24+Razgrad!E24+Voden!E24</f>
        <v>11960</v>
      </c>
      <c r="F24" s="161">
        <f>Bujnovci!F24+Elena!F24+Bolqrka!F24+Gorna!F24+Svishtov!F24+Rosica!F24+Gabrovo!F24+Plachkovci!F24+Sevlievo!F24+Bqla!F24+Dunav_Ruse!F24+Silistra!F24+Tutrakan!F24+Seslav!F24+Karakuz!F24+Razgrad!F24+Voden!F24</f>
        <v>3778</v>
      </c>
      <c r="G24" s="161">
        <f>Bujnovci!G24+Elena!G24+Bolqrka!G24+Gorna!G24+Svishtov!G24+Rosica!G24+Gabrovo!G24+Plachkovci!G24+Sevlievo!G24+Bqla!G24+Dunav_Ruse!G24+Silistra!G24+Tutrakan!G24+Seslav!G24+Karakuz!G24+Razgrad!G24+Voden!G24</f>
        <v>662</v>
      </c>
      <c r="H24" s="161">
        <f>Bujnovci!H24+Elena!H24+Bolqrka!H24+Gorna!H24+Svishtov!H24+Rosica!H24+Gabrovo!H24+Plachkovci!H24+Sevlievo!H24+Bqla!H24+Dunav_Ruse!H24+Silistra!H24+Tutrakan!H24+Seslav!H24+Karakuz!H24+Razgrad!H24+Voden!H24</f>
        <v>51552</v>
      </c>
      <c r="I24" s="162"/>
      <c r="J24" s="160" t="s">
        <v>22</v>
      </c>
      <c r="K24" s="163">
        <f>Bujnovci!K24+Elena!K24+Bolqrka!K24+Gorna!K24+Svishtov!K24+Rosica!K24+Gabrovo!K24+Plachkovci!K24+Sevlievo!K24+Bqla!K24+Dunav_Ruse!K24+Silistra!K24+Tutrakan!K24+Seslav!K24+Karakuz!K24+Razgrad!K24+Voden!K24</f>
        <v>963.59999999999991</v>
      </c>
      <c r="L24" s="161">
        <f>Bujnovci!L24+Elena!L24+Bolqrka!L24+Gorna!L24+Svishtov!L24+Rosica!L24+Gabrovo!L24+Plachkovci!L24+Sevlievo!L24+Bqla!L24+Dunav_Ruse!L24+Silistra!L24+Tutrakan!L24+Seslav!L24+Karakuz!L24+Razgrad!L24+Voden!L24</f>
        <v>41222</v>
      </c>
      <c r="M24" s="161">
        <f>Bujnovci!M24+Elena!M24+Bolqrka!M24+Gorna!M24+Svishtov!M24+Rosica!M24+Gabrovo!M24+Plachkovci!M24+Sevlievo!M24+Bqla!M24+Dunav_Ruse!M24+Silistra!M24+Tutrakan!M24+Seslav!M24+Karakuz!M24+Razgrad!M24+Voden!M24</f>
        <v>37020</v>
      </c>
      <c r="N24" s="161">
        <f>Bujnovci!N24+Elena!N24+Bolqrka!N24+Gorna!N24+Svishtov!N24+Rosica!N24+Gabrovo!N24+Plachkovci!N24+Sevlievo!N24+Bqla!N24+Dunav_Ruse!N24+Silistra!N24+Tutrakan!N24+Seslav!N24+Karakuz!N24+Razgrad!N24+Voden!N24</f>
        <v>3005</v>
      </c>
      <c r="O24" s="161">
        <f>Bujnovci!O24+Elena!O24+Bolqrka!O24+Gorna!O24+Svishtov!O24+Rosica!O24+Gabrovo!O24+Plachkovci!O24+Sevlievo!O24+Bqla!O24+Dunav_Ruse!O24+Silistra!O24+Tutrakan!O24+Seslav!O24+Karakuz!O24+Razgrad!O24+Voden!O24</f>
        <v>2708</v>
      </c>
      <c r="P24" s="161">
        <f>Bujnovci!P24+Elena!P24+Bolqrka!P24+Gorna!P24+Svishtov!P24+Rosica!P24+Gabrovo!P24+Plachkovci!P24+Sevlievo!P24+Bqla!P24+Dunav_Ruse!P24+Silistra!P24+Tutrakan!P24+Seslav!P24+Karakuz!P24+Razgrad!P24+Voden!P24</f>
        <v>308</v>
      </c>
      <c r="Q24" s="161">
        <f>Bujnovci!Q24+Elena!Q24+Bolqrka!Q24+Gorna!Q24+Svishtov!Q24+Rosica!Q24+Gabrovo!Q24+Plachkovci!Q24+Sevlievo!Q24+Bqla!Q24+Dunav_Ruse!Q24+Silistra!Q24+Tutrakan!Q24+Seslav!Q24+Karakuz!Q24+Razgrad!Q24+Voden!Q24</f>
        <v>30999</v>
      </c>
      <c r="R24" s="160" t="s">
        <v>22</v>
      </c>
      <c r="S24" s="163">
        <f>Bujnovci!S24+Elena!S24+Bolqrka!S24+Gorna!S24+Svishtov!S24+Rosica!S24+Gabrovo!S24+Plachkovci!S24+Sevlievo!S24+Bqla!S24+Dunav_Ruse!S24+Silistra!S24+Tutrakan!S24+Seslav!S24+Karakuz!S24+Razgrad!S24+Voden!S24</f>
        <v>566</v>
      </c>
      <c r="T24" s="161">
        <f>Bujnovci!T24+Elena!T24+Bolqrka!T24+Gorna!T24+Svishtov!T24+Rosica!T24+Gabrovo!T24+Plachkovci!T24+Sevlievo!T24+Bqla!T24+Dunav_Ruse!T24+Silistra!T24+Tutrakan!T24+Seslav!T24+Karakuz!T24+Razgrad!T24+Voden!T24</f>
        <v>33604</v>
      </c>
      <c r="U24" s="161">
        <f>Bujnovci!U24+Elena!U24+Bolqrka!U24+Gorna!U24+Svishtov!U24+Rosica!U24+Gabrovo!U24+Plachkovci!U24+Sevlievo!U24+Bqla!U24+Dunav_Ruse!U24+Silistra!U24+Tutrakan!U24+Seslav!U24+Karakuz!U24+Razgrad!U24+Voden!U24</f>
        <v>30532</v>
      </c>
      <c r="V24" s="161">
        <f>Bujnovci!V24+Elena!V24+Bolqrka!V24+Gorna!V24+Svishtov!V24+Rosica!V24+Gabrovo!V24+Plachkovci!V24+Sevlievo!V24+Bqla!V24+Dunav_Ruse!V24+Silistra!V24+Tutrakan!V24+Seslav!V24+Karakuz!V24+Razgrad!V24+Voden!V24</f>
        <v>8938</v>
      </c>
      <c r="W24" s="161">
        <f>Bujnovci!W24+Elena!W24+Bolqrka!W24+Gorna!W24+Svishtov!W24+Rosica!W24+Gabrovo!W24+Plachkovci!W24+Sevlievo!W24+Bqla!W24+Dunav_Ruse!W24+Silistra!W24+Tutrakan!W24+Seslav!W24+Karakuz!W24+Razgrad!W24+Voden!W24</f>
        <v>1067</v>
      </c>
      <c r="X24" s="161">
        <f>Bujnovci!X24+Elena!X24+Bolqrka!X24+Gorna!X24+Svishtov!X24+Rosica!X24+Gabrovo!X24+Plachkovci!X24+Sevlievo!X24+Bqla!X24+Dunav_Ruse!X24+Silistra!X24+Tutrakan!X24+Seslav!X24+Karakuz!X24+Razgrad!X24+Voden!X24</f>
        <v>352</v>
      </c>
      <c r="Y24" s="161">
        <f>Bujnovci!Y24+Elena!Y24+Bolqrka!Y24+Gorna!Y24+Svishtov!Y24+Rosica!Y24+Gabrovo!Y24+Plachkovci!Y24+Sevlievo!Y24+Bqla!Y24+Dunav_Ruse!Y24+Silistra!Y24+Tutrakan!Y24+Seslav!Y24+Karakuz!Y24+Razgrad!Y24+Voden!Y24</f>
        <v>20175</v>
      </c>
      <c r="Z24" s="162"/>
      <c r="AA24" s="160" t="s">
        <v>22</v>
      </c>
      <c r="AB24" s="163">
        <f>Bujnovci!AB24+Elena!AB24+Bolqrka!AB24+Gorna!AB24+Svishtov!AB24+Rosica!AB24+Gabrovo!AB24+Plachkovci!AB24+Sevlievo!AB24+Bqla!AB24+Dunav_Ruse!AB24+Silistra!AB24+Tutrakan!AB24+Seslav!AB24+Karakuz!AB24+Razgrad!AB24+Voden!AB24</f>
        <v>429.9</v>
      </c>
      <c r="AC24" s="161">
        <f>Bujnovci!AC24+Elena!AC24+Bolqrka!AC24+Gorna!AC24+Svishtov!AC24+Rosica!AC24+Gabrovo!AC24+Plachkovci!AC24+Sevlievo!AC24+Bqla!AC24+Dunav_Ruse!AC24+Silistra!AC24+Tutrakan!AC24+Seslav!AC24+Karakuz!AC24+Razgrad!AC24+Voden!AC24</f>
        <v>29025</v>
      </c>
      <c r="AD24" s="161">
        <f>Bujnovci!AD24+Elena!AD24+Bolqrka!AD24+Gorna!AD24+Svishtov!AD24+Rosica!AD24+Gabrovo!AD24+Plachkovci!AD24+Sevlievo!AD24+Bqla!AD24+Dunav_Ruse!AD24+Silistra!AD24+Tutrakan!AD24+Seslav!AD24+Karakuz!AD24+Razgrad!AD24+Voden!AD24</f>
        <v>26346</v>
      </c>
      <c r="AE24" s="161">
        <f>Bujnovci!AE24+Elena!AE24+Bolqrka!AE24+Gorna!AE24+Svishtov!AE24+Rosica!AE24+Gabrovo!AE24+Plachkovci!AE24+Sevlievo!AE24+Bqla!AE24+Dunav_Ruse!AE24+Silistra!AE24+Tutrakan!AE24+Seslav!AE24+Karakuz!AE24+Razgrad!AE24+Voden!AE24</f>
        <v>8578</v>
      </c>
      <c r="AF24" s="161">
        <f>Bujnovci!AF24+Elena!AF24+Bolqrka!AF24+Gorna!AF24+Svishtov!AF24+Rosica!AF24+Gabrovo!AF24+Plachkovci!AF24+Sevlievo!AF24+Bqla!AF24+Dunav_Ruse!AF24+Silistra!AF24+Tutrakan!AF24+Seslav!AF24+Karakuz!AF24+Razgrad!AF24+Voden!AF24</f>
        <v>877</v>
      </c>
      <c r="AG24" s="161">
        <f>Bujnovci!AG24+Elena!AG24+Bolqrka!AG24+Gorna!AG24+Svishtov!AG24+Rosica!AG24+Gabrovo!AG24+Plachkovci!AG24+Sevlievo!AG24+Bqla!AG24+Dunav_Ruse!AG24+Silistra!AG24+Tutrakan!AG24+Seslav!AG24+Karakuz!AG24+Razgrad!AG24+Voden!AG24</f>
        <v>312</v>
      </c>
      <c r="AH24" s="161">
        <f>Bujnovci!AH24+Elena!AH24+Bolqrka!AH24+Gorna!AH24+Svishtov!AH24+Rosica!AH24+Gabrovo!AH24+Plachkovci!AH24+Sevlievo!AH24+Bqla!AH24+Dunav_Ruse!AH24+Silistra!AH24+Tutrakan!AH24+Seslav!AH24+Karakuz!AH24+Razgrad!AH24+Voden!AH24</f>
        <v>16579</v>
      </c>
      <c r="AI24" s="166"/>
      <c r="AJ24" s="161" t="s">
        <v>22</v>
      </c>
      <c r="AK24" s="163">
        <f>Bujnovci!AK24+Elena!AK24+Bolqrka!AK24+Gorna!AK24+Svishtov!AK24+Rosica!AK24+Gabrovo!AK24+Plachkovci!AK24+Sevlievo!AK24+Bqla!AK24+Dunav_Ruse!AK24+Silistra!AK24+Tutrakan!AK24+Seslav!AK24+Karakuz!AK24+Razgrad!AK24+Voden!AK24</f>
        <v>4.4719999999999995</v>
      </c>
      <c r="AL24" s="161">
        <f>Bujnovci!AL24+Elena!AL24+Bolqrka!AL24+Gorna!AL24+Svishtov!AL24+Rosica!AL24+Gabrovo!AL24+Plachkovci!AL24+Sevlievo!AL24+Bqla!AL24+Dunav_Ruse!AL24+Silistra!AL24+Tutrakan!AL24+Seslav!AL24+Karakuz!AL24+Razgrad!AL24+Voden!AL24</f>
        <v>445</v>
      </c>
      <c r="AM24" s="161">
        <f>Bujnovci!AM24+Elena!AM24+Bolqrka!AM24+Gorna!AM24+Svishtov!AM24+Rosica!AM24+Gabrovo!AM24+Plachkovci!AM24+Sevlievo!AM24+Bqla!AM24+Dunav_Ruse!AM24+Silistra!AM24+Tutrakan!AM24+Seslav!AM24+Karakuz!AM24+Razgrad!AM24+Voden!AM24</f>
        <v>400</v>
      </c>
      <c r="AN24" s="161">
        <f>Bujnovci!AN24+Elena!AN24+Bolqrka!AN24+Gorna!AN24+Svishtov!AN24+Rosica!AN24+Gabrovo!AN24+Plachkovci!AN24+Sevlievo!AN24+Bqla!AN24+Dunav_Ruse!AN24+Silistra!AN24+Tutrakan!AN24+Seslav!AN24+Karakuz!AN24+Razgrad!AN24+Voden!AN24</f>
        <v>17</v>
      </c>
      <c r="AO24" s="161">
        <f>Bujnovci!AO24+Elena!AO24+Bolqrka!AO24+Gorna!AO24+Svishtov!AO24+Rosica!AO24+Gabrovo!AO24+Plachkovci!AO24+Sevlievo!AO24+Bqla!AO24+Dunav_Ruse!AO24+Silistra!AO24+Tutrakan!AO24+Seslav!AO24+Karakuz!AO24+Razgrad!AO24+Voden!AO24</f>
        <v>3</v>
      </c>
      <c r="AP24" s="161">
        <f>Bujnovci!AP24+Elena!AP24+Bolqrka!AP24+Gorna!AP24+Svishtov!AP24+Rosica!AP24+Gabrovo!AP24+Plachkovci!AP24+Sevlievo!AP24+Bqla!AP24+Dunav_Ruse!AP24+Silistra!AP24+Tutrakan!AP24+Seslav!AP24+Karakuz!AP24+Razgrad!AP24+Voden!AP24</f>
        <v>2</v>
      </c>
      <c r="AQ24" s="161">
        <f>Bujnovci!AQ24+Elena!AQ24+Bolqrka!AQ24+Gorna!AQ24+Svishtov!AQ24+Rosica!AQ24+Gabrovo!AQ24+Plachkovci!AQ24+Sevlievo!AQ24+Bqla!AQ24+Dunav_Ruse!AQ24+Silistra!AQ24+Tutrakan!AQ24+Seslav!AQ24+Karakuz!AQ24+Razgrad!AQ24+Voden!AQ24</f>
        <v>378</v>
      </c>
      <c r="AR24" s="162"/>
      <c r="AS24" s="162"/>
    </row>
    <row r="25" spans="1:45" ht="12">
      <c r="A25" s="160" t="s">
        <v>12</v>
      </c>
      <c r="B25" s="161">
        <f t="shared" ref="B25:H25" si="15">B24/B23*100</f>
        <v>85.790533285612014</v>
      </c>
      <c r="C25" s="161">
        <f t="shared" si="15"/>
        <v>73.247180405398822</v>
      </c>
      <c r="D25" s="161">
        <f t="shared" si="15"/>
        <v>78.889198476827332</v>
      </c>
      <c r="E25" s="161">
        <f t="shared" si="15"/>
        <v>55.741983594332588</v>
      </c>
      <c r="F25" s="161">
        <f t="shared" si="15"/>
        <v>36.724179829890645</v>
      </c>
      <c r="G25" s="161">
        <f t="shared" si="15"/>
        <v>24.766180321735877</v>
      </c>
      <c r="H25" s="161">
        <f t="shared" si="15"/>
        <v>100.03201676514249</v>
      </c>
      <c r="I25" s="162"/>
      <c r="J25" s="160" t="s">
        <v>12</v>
      </c>
      <c r="K25" s="161">
        <f t="shared" ref="K25:Q25" si="16">K24/K23*100</f>
        <v>101.13880871162424</v>
      </c>
      <c r="L25" s="161">
        <f t="shared" si="16"/>
        <v>100.18105595722704</v>
      </c>
      <c r="M25" s="161">
        <f t="shared" si="16"/>
        <v>109.22931665289744</v>
      </c>
      <c r="N25" s="161">
        <f t="shared" si="16"/>
        <v>109.15365056302215</v>
      </c>
      <c r="O25" s="161">
        <f t="shared" si="16"/>
        <v>43.547479295650078</v>
      </c>
      <c r="P25" s="161">
        <f t="shared" si="16"/>
        <v>18.410041841004183</v>
      </c>
      <c r="Q25" s="161">
        <f t="shared" si="16"/>
        <v>134.1454443170262</v>
      </c>
      <c r="R25" s="160" t="s">
        <v>12</v>
      </c>
      <c r="S25" s="161">
        <f t="shared" ref="S25:Y25" si="17">S24/S23*100</f>
        <v>68.721846505020594</v>
      </c>
      <c r="T25" s="161">
        <f t="shared" si="17"/>
        <v>55.784921603293583</v>
      </c>
      <c r="U25" s="161">
        <f t="shared" si="17"/>
        <v>59.404245383971833</v>
      </c>
      <c r="V25" s="161">
        <f t="shared" si="17"/>
        <v>47.978957539320419</v>
      </c>
      <c r="W25" s="161">
        <f t="shared" si="17"/>
        <v>27.621019932694796</v>
      </c>
      <c r="X25" s="161">
        <f t="shared" si="17"/>
        <v>39.550561797752806</v>
      </c>
      <c r="Y25" s="161">
        <f t="shared" si="17"/>
        <v>72.130854486950298</v>
      </c>
      <c r="Z25" s="162"/>
      <c r="AA25" s="160" t="s">
        <v>12</v>
      </c>
      <c r="AB25" s="161">
        <f t="shared" ref="AB25:AH25" si="18">AB24/AB23*100</f>
        <v>58.328697610680699</v>
      </c>
      <c r="AC25" s="161">
        <f t="shared" si="18"/>
        <v>51.182803283458391</v>
      </c>
      <c r="AD25" s="161">
        <f t="shared" si="18"/>
        <v>54.370414701845981</v>
      </c>
      <c r="AE25" s="161">
        <f t="shared" si="18"/>
        <v>46.858953348628859</v>
      </c>
      <c r="AF25" s="161">
        <f t="shared" si="18"/>
        <v>27.788339670468947</v>
      </c>
      <c r="AG25" s="161">
        <f t="shared" si="18"/>
        <v>38.733705772811916</v>
      </c>
      <c r="AH25" s="161">
        <f t="shared" si="18"/>
        <v>63.395981110070167</v>
      </c>
      <c r="AI25" s="169"/>
      <c r="AJ25" s="200" t="s">
        <v>12</v>
      </c>
      <c r="AK25" s="161">
        <f t="shared" ref="AK25:AQ25" si="19">AK24/AK23*100</f>
        <v>37.898305084745758</v>
      </c>
      <c r="AL25" s="161">
        <f t="shared" si="19"/>
        <v>32.316630355846044</v>
      </c>
      <c r="AM25" s="161">
        <f t="shared" si="19"/>
        <v>47.225501770956321</v>
      </c>
      <c r="AN25" s="161">
        <f t="shared" si="19"/>
        <v>22.972972972972975</v>
      </c>
      <c r="AO25" s="161">
        <f t="shared" si="19"/>
        <v>1.4563106796116505</v>
      </c>
      <c r="AP25" s="161">
        <f t="shared" si="19"/>
        <v>1.8181818181818181</v>
      </c>
      <c r="AQ25" s="161">
        <f t="shared" si="19"/>
        <v>82.713347921225377</v>
      </c>
      <c r="AR25" s="162"/>
      <c r="AS25" s="162"/>
    </row>
    <row r="26" spans="1:45" ht="12">
      <c r="A26" s="160" t="s">
        <v>23</v>
      </c>
      <c r="B26" s="163">
        <f>Bujnovci!B26+Elena!B26+Bolqrka!B26+Gorna!B26+Svishtov!B26+Rosica!B26+Gabrovo!B26+Plachkovci!B26+Sevlievo!B26+Bqla!B26+Dunav_Ruse!B26+Silistra!B26+Tutrakan!B26+Seslav!B26+Karakuz!B26+Razgrad!B26+Voden!B26</f>
        <v>976.38</v>
      </c>
      <c r="C26" s="161">
        <f>Bujnovci!C26+Elena!C26+Bolqrka!C26+Gorna!C26+Svishtov!C26+Rosica!C26+Gabrovo!C26+Plachkovci!C26+Sevlievo!C26+Bqla!C26+Dunav_Ruse!C26+Silistra!C26+Tutrakan!C26+Seslav!C26+Karakuz!C26+Razgrad!C26+Voden!C26</f>
        <v>42932</v>
      </c>
      <c r="D26" s="161">
        <f>Bujnovci!D26+Elena!D26+Bolqrka!D26+Gorna!D26+Svishtov!D26+Rosica!D26+Gabrovo!D26+Plachkovci!D26+Sevlievo!D26+Bqla!D26+Dunav_Ruse!D26+Silistra!D26+Tutrakan!D26+Seslav!D26+Karakuz!D26+Razgrad!D26+Voden!D26</f>
        <v>37244.5</v>
      </c>
      <c r="E26" s="161">
        <f>Bujnovci!E26+Elena!E26+Bolqrka!E26+Gorna!E26+Svishtov!E26+Rosica!E26+Gabrovo!E26+Plachkovci!E26+Sevlievo!E26+Bqla!E26+Dunav_Ruse!E26+Silistra!E26+Tutrakan!E26+Seslav!E26+Karakuz!E26+Razgrad!E26+Voden!E26</f>
        <v>3293.5</v>
      </c>
      <c r="F26" s="161">
        <f>Bujnovci!F26+Elena!F26+Bolqrka!F26+Gorna!F26+Svishtov!F26+Rosica!F26+Gabrovo!F26+Plachkovci!F26+Sevlievo!F26+Bqla!F26+Dunav_Ruse!F26+Silistra!F26+Tutrakan!F26+Seslav!F26+Karakuz!F26+Razgrad!F26+Voden!F26</f>
        <v>7472</v>
      </c>
      <c r="G26" s="161">
        <f>Bujnovci!G26+Elena!G26+Bolqrka!G26+Gorna!G26+Svishtov!G26+Rosica!G26+Gabrovo!G26+Plachkovci!G26+Sevlievo!G26+Bqla!G26+Dunav_Ruse!G26+Silistra!G26+Tutrakan!G26+Seslav!G26+Karakuz!G26+Razgrad!G26+Voden!G26</f>
        <v>1304.5</v>
      </c>
      <c r="H26" s="161">
        <f>Bujnovci!H26+Elena!H26+Bolqrka!H26+Gorna!H26+Svishtov!H26+Rosica!H26+Gabrovo!H26+Plachkovci!H26+Sevlievo!H26+Bqla!H26+Dunav_Ruse!H26+Silistra!H26+Tutrakan!H26+Seslav!H26+Karakuz!H26+Razgrad!H26+Voden!H26</f>
        <v>25108.5</v>
      </c>
      <c r="I26" s="162"/>
      <c r="J26" s="160" t="s">
        <v>23</v>
      </c>
      <c r="K26" s="163">
        <f>Bujnovci!K26+Elena!K26+Bolqrka!K26+Gorna!K26+Svishtov!K26+Rosica!K26+Gabrovo!K26+Plachkovci!K26+Sevlievo!K26+Bqla!K26+Dunav_Ruse!K26+Silistra!K26+Tutrakan!K26+Seslav!K26+Karakuz!K26+Razgrad!K26+Voden!K26</f>
        <v>325.56999999999994</v>
      </c>
      <c r="L26" s="161">
        <f>Bujnovci!L26+Elena!L26+Bolqrka!L26+Gorna!L26+Svishtov!L26+Rosica!L26+Gabrovo!L26+Plachkovci!L26+Sevlievo!L26+Bqla!L26+Dunav_Ruse!L26+Silistra!L26+Tutrakan!L26+Seslav!L26+Karakuz!L26+Razgrad!L26+Voden!L26</f>
        <v>11920</v>
      </c>
      <c r="M26" s="161">
        <f>Bujnovci!M26+Elena!M26+Bolqrka!M26+Gorna!M26+Svishtov!M26+Rosica!M26+Gabrovo!M26+Plachkovci!M26+Sevlievo!M26+Bqla!M26+Dunav_Ruse!M26+Silistra!M26+Tutrakan!M26+Seslav!M26+Karakuz!M26+Razgrad!M26+Voden!M26</f>
        <v>9966</v>
      </c>
      <c r="N26" s="161">
        <f>Bujnovci!N26+Elena!N26+Bolqrka!N26+Gorna!N26+Svishtov!N26+Rosica!N26+Gabrovo!N26+Plachkovci!N26+Sevlievo!N26+Bqla!N26+Dunav_Ruse!N26+Silistra!N26+Tutrakan!N26+Seslav!N26+Karakuz!N26+Razgrad!N26+Voden!N26</f>
        <v>694</v>
      </c>
      <c r="O26" s="161">
        <f>Bujnovci!O26+Elena!O26+Bolqrka!O26+Gorna!O26+Svishtov!O26+Rosica!O26+Gabrovo!O26+Plachkovci!O26+Sevlievo!O26+Bqla!O26+Dunav_Ruse!O26+Silistra!O26+Tutrakan!O26+Seslav!O26+Karakuz!O26+Razgrad!O26+Voden!O26</f>
        <v>2360.5</v>
      </c>
      <c r="P26" s="161">
        <f>Bujnovci!P26+Elena!P26+Bolqrka!P26+Gorna!P26+Svishtov!P26+Rosica!P26+Gabrovo!P26+Plachkovci!P26+Sevlievo!P26+Bqla!P26+Dunav_Ruse!P26+Silistra!P26+Tutrakan!P26+Seslav!P26+Karakuz!P26+Razgrad!P26+Voden!P26</f>
        <v>446</v>
      </c>
      <c r="Q26" s="161">
        <f>Bujnovci!Q26+Elena!Q26+Bolqrka!Q26+Gorna!Q26+Svishtov!Q26+Rosica!Q26+Gabrovo!Q26+Plachkovci!Q26+Sevlievo!Q26+Bqla!Q26+Dunav_Ruse!Q26+Silistra!Q26+Tutrakan!Q26+Seslav!Q26+Karakuz!Q26+Razgrad!Q26+Voden!Q26</f>
        <v>6434.5</v>
      </c>
      <c r="R26" s="160" t="s">
        <v>23</v>
      </c>
      <c r="S26" s="163">
        <f>Bujnovci!S26+Elena!S26+Bolqrka!S26+Gorna!S26+Svishtov!S26+Rosica!S26+Gabrovo!S26+Plachkovci!S26+Sevlievo!S26+Bqla!S26+Dunav_Ruse!S26+Silistra!S26+Tutrakan!S26+Seslav!S26+Karakuz!S26+Razgrad!S26+Voden!S26</f>
        <v>640.31000000000006</v>
      </c>
      <c r="T26" s="161">
        <f>Bujnovci!T26+Elena!T26+Bolqrka!T26+Gorna!T26+Svishtov!T26+Rosica!T26+Gabrovo!T26+Plachkovci!T26+Sevlievo!T26+Bqla!T26+Dunav_Ruse!T26+Silistra!T26+Tutrakan!T26+Seslav!T26+Karakuz!T26+Razgrad!T26+Voden!T26</f>
        <v>30614</v>
      </c>
      <c r="U26" s="161">
        <f>Bujnovci!U26+Elena!U26+Bolqrka!U26+Gorna!U26+Svishtov!U26+Rosica!U26+Gabrovo!U26+Plachkovci!U26+Sevlievo!U26+Bqla!U26+Dunav_Ruse!U26+Silistra!U26+Tutrakan!U26+Seslav!U26+Karakuz!U26+Razgrad!U26+Voden!U26</f>
        <v>26934.5</v>
      </c>
      <c r="V26" s="161">
        <f>Bujnovci!V26+Elena!V26+Bolqrka!V26+Gorna!V26+Svishtov!V26+Rosica!V26+Gabrovo!V26+Plachkovci!V26+Sevlievo!V26+Bqla!V26+Dunav_Ruse!V26+Silistra!V26+Tutrakan!V26+Seslav!V26+Karakuz!V26+Razgrad!V26+Voden!V26</f>
        <v>2592.5</v>
      </c>
      <c r="W26" s="161">
        <f>Bujnovci!W26+Elena!W26+Bolqrka!W26+Gorna!W26+Svishtov!W26+Rosica!W26+Gabrovo!W26+Plachkovci!W26+Sevlievo!W26+Bqla!W26+Dunav_Ruse!W26+Silistra!W26+Tutrakan!W26+Seslav!W26+Karakuz!W26+Razgrad!W26+Voden!W26</f>
        <v>5058.5</v>
      </c>
      <c r="X26" s="161">
        <f>Bujnovci!X26+Elena!X26+Bolqrka!X26+Gorna!X26+Svishtov!X26+Rosica!X26+Gabrovo!X26+Plachkovci!X26+Sevlievo!X26+Bqla!X26+Dunav_Ruse!X26+Silistra!X26+Tutrakan!X26+Seslav!X26+Karakuz!X26+Razgrad!X26+Voden!X26</f>
        <v>839.5</v>
      </c>
      <c r="Y26" s="161">
        <f>Bujnovci!Y26+Elena!Y26+Bolqrka!Y26+Gorna!Y26+Svishtov!Y26+Rosica!Y26+Gabrovo!Y26+Plachkovci!Y26+Sevlievo!Y26+Bqla!Y26+Dunav_Ruse!Y26+Silistra!Y26+Tutrakan!Y26+Seslav!Y26+Karakuz!Y26+Razgrad!Y26+Voden!Y26</f>
        <v>18409</v>
      </c>
      <c r="Z26" s="162"/>
      <c r="AA26" s="160" t="s">
        <v>23</v>
      </c>
      <c r="AB26" s="163">
        <f>Bujnovci!AB26+Elena!AB26+Bolqrka!AB26+Gorna!AB26+Svishtov!AB26+Rosica!AB26+Gabrovo!AB26+Plachkovci!AB26+Sevlievo!AB26+Bqla!AB26+Dunav_Ruse!AB26+Silistra!AB26+Tutrakan!AB26+Seslav!AB26+Karakuz!AB26+Razgrad!AB26+Voden!AB26</f>
        <v>138.51</v>
      </c>
      <c r="AC26" s="161">
        <f>Bujnovci!AC26+Elena!AC26+Bolqrka!AC26+Gorna!AC26+Svishtov!AC26+Rosica!AC26+Gabrovo!AC26+Plachkovci!AC26+Sevlievo!AC26+Bqla!AC26+Dunav_Ruse!AC26+Silistra!AC26+Tutrakan!AC26+Seslav!AC26+Karakuz!AC26+Razgrad!AC26+Voden!AC26</f>
        <v>7441.5</v>
      </c>
      <c r="AD26" s="161">
        <f>Bujnovci!AD26+Elena!AD26+Bolqrka!AD26+Gorna!AD26+Svishtov!AD26+Rosica!AD26+Gabrovo!AD26+Plachkovci!AD26+Sevlievo!AD26+Bqla!AD26+Dunav_Ruse!AD26+Silistra!AD26+Tutrakan!AD26+Seslav!AD26+Karakuz!AD26+Razgrad!AD26+Voden!AD26</f>
        <v>6250</v>
      </c>
      <c r="AE26" s="161">
        <f>Bujnovci!AE26+Elena!AE26+Bolqrka!AE26+Gorna!AE26+Svishtov!AE26+Rosica!AE26+Gabrovo!AE26+Plachkovci!AE26+Sevlievo!AE26+Bqla!AE26+Dunav_Ruse!AE26+Silistra!AE26+Tutrakan!AE26+Seslav!AE26+Karakuz!AE26+Razgrad!AE26+Voden!AE26</f>
        <v>1677.5</v>
      </c>
      <c r="AF26" s="161">
        <f>Bujnovci!AF26+Elena!AF26+Bolqrka!AF26+Gorna!AF26+Svishtov!AF26+Rosica!AF26+Gabrovo!AF26+Plachkovci!AF26+Sevlievo!AF26+Bqla!AF26+Dunav_Ruse!AF26+Silistra!AF26+Tutrakan!AF26+Seslav!AF26+Karakuz!AF26+Razgrad!AF26+Voden!AF26</f>
        <v>521</v>
      </c>
      <c r="AG26" s="161">
        <f>Bujnovci!AG26+Elena!AG26+Bolqrka!AG26+Gorna!AG26+Svishtov!AG26+Rosica!AG26+Gabrovo!AG26+Plachkovci!AG26+Sevlievo!AG26+Bqla!AG26+Dunav_Ruse!AG26+Silistra!AG26+Tutrakan!AG26+Seslav!AG26+Karakuz!AG26+Razgrad!AG26+Voden!AG26</f>
        <v>101.5</v>
      </c>
      <c r="AH26" s="161">
        <f>Bujnovci!AH26+Elena!AH26+Bolqrka!AH26+Gorna!AH26+Svishtov!AH26+Rosica!AH26+Gabrovo!AH26+Plachkovci!AH26+Sevlievo!AH26+Bqla!AH26+Dunav_Ruse!AH26+Silistra!AH26+Tutrakan!AH26+Seslav!AH26+Karakuz!AH26+Razgrad!AH26+Voden!AH26</f>
        <v>3950</v>
      </c>
      <c r="AI26" s="166"/>
      <c r="AJ26" s="161" t="s">
        <v>23</v>
      </c>
      <c r="AK26" s="163">
        <f>Bujnovci!AK26+Elena!AK26+Bolqrka!AK26+Gorna!AK26+Svishtov!AK26+Rosica!AK26+Gabrovo!AK26+Plachkovci!AK26+Sevlievo!AK26+Bqla!AK26+Dunav_Ruse!AK26+Silistra!AK26+Tutrakan!AK26+Seslav!AK26+Karakuz!AK26+Razgrad!AK26+Voden!AK26</f>
        <v>10.5</v>
      </c>
      <c r="AL26" s="161">
        <f>Bujnovci!AL26+Elena!AL26+Bolqrka!AL26+Gorna!AL26+Svishtov!AL26+Rosica!AL26+Gabrovo!AL26+Plachkovci!AL26+Sevlievo!AL26+Bqla!AL26+Dunav_Ruse!AL26+Silistra!AL26+Tutrakan!AL26+Seslav!AL26+Karakuz!AL26+Razgrad!AL26+Voden!AL26</f>
        <v>398</v>
      </c>
      <c r="AM26" s="161">
        <f>Bujnovci!AM26+Elena!AM26+Bolqrka!AM26+Gorna!AM26+Svishtov!AM26+Rosica!AM26+Gabrovo!AM26+Plachkovci!AM26+Sevlievo!AM26+Bqla!AM26+Dunav_Ruse!AM26+Silistra!AM26+Tutrakan!AM26+Seslav!AM26+Karakuz!AM26+Razgrad!AM26+Voden!AM26</f>
        <v>344</v>
      </c>
      <c r="AN26" s="161">
        <f>Bujnovci!AN26+Elena!AN26+Bolqrka!AN26+Gorna!AN26+Svishtov!AN26+Rosica!AN26+Gabrovo!AN26+Plachkovci!AN26+Sevlievo!AN26+Bqla!AN26+Dunav_Ruse!AN26+Silistra!AN26+Tutrakan!AN26+Seslav!AN26+Karakuz!AN26+Razgrad!AN26+Voden!AN26</f>
        <v>7</v>
      </c>
      <c r="AO26" s="161">
        <f>Bujnovci!AO26+Elena!AO26+Bolqrka!AO26+Gorna!AO26+Svishtov!AO26+Rosica!AO26+Gabrovo!AO26+Plachkovci!AO26+Sevlievo!AO26+Bqla!AO26+Dunav_Ruse!AO26+Silistra!AO26+Tutrakan!AO26+Seslav!AO26+Karakuz!AO26+Razgrad!AO26+Voden!AO26</f>
        <v>53</v>
      </c>
      <c r="AP26" s="161">
        <f>Bujnovci!AP26+Elena!AP26+Bolqrka!AP26+Gorna!AP26+Svishtov!AP26+Rosica!AP26+Gabrovo!AP26+Plachkovci!AP26+Sevlievo!AP26+Bqla!AP26+Dunav_Ruse!AP26+Silistra!AP26+Tutrakan!AP26+Seslav!AP26+Karakuz!AP26+Razgrad!AP26+Voden!AP26</f>
        <v>19</v>
      </c>
      <c r="AQ26" s="161">
        <f>Bujnovci!AQ26+Elena!AQ26+Bolqrka!AQ26+Gorna!AQ26+Svishtov!AQ26+Rosica!AQ26+Gabrovo!AQ26+Plachkovci!AQ26+Sevlievo!AQ26+Bqla!AQ26+Dunav_Ruse!AQ26+Silistra!AQ26+Tutrakan!AQ26+Seslav!AQ26+Karakuz!AQ26+Razgrad!AQ26+Voden!AQ26</f>
        <v>265</v>
      </c>
      <c r="AR26" s="162"/>
      <c r="AS26" s="162"/>
    </row>
    <row r="27" spans="1:45" ht="12">
      <c r="A27" s="160" t="s">
        <v>24</v>
      </c>
      <c r="B27" s="163">
        <f>Bujnovci!B27+Elena!B27+Bolqrka!B27+Gorna!B27+Svishtov!B27+Rosica!B27+Gabrovo!B27+Plachkovci!B27+Sevlievo!B27+Bqla!B27+Dunav_Ruse!B27+Silistra!B27+Tutrakan!B27+Seslav!B27+Karakuz!B27+Razgrad!B27+Voden!B27</f>
        <v>960.5200000000001</v>
      </c>
      <c r="C27" s="161">
        <f>Bujnovci!C27+Elena!C27+Bolqrka!C27+Gorna!C27+Svishtov!C27+Rosica!C27+Gabrovo!C27+Plachkovci!C27+Sevlievo!C27+Bqla!C27+Dunav_Ruse!C27+Silistra!C27+Tutrakan!C27+Seslav!C27+Karakuz!C27+Razgrad!C27+Voden!C27</f>
        <v>37331</v>
      </c>
      <c r="D27" s="161">
        <f>Bujnovci!D27+Elena!D27+Bolqrka!D27+Gorna!D27+Svishtov!D27+Rosica!D27+Gabrovo!D27+Plachkovci!D27+Sevlievo!D27+Bqla!D27+Dunav_Ruse!D27+Silistra!D27+Tutrakan!D27+Seslav!D27+Karakuz!D27+Razgrad!D27+Voden!D27</f>
        <v>33441</v>
      </c>
      <c r="E27" s="161">
        <f>Bujnovci!E27+Elena!E27+Bolqrka!E27+Gorna!E27+Svishtov!E27+Rosica!E27+Gabrovo!E27+Plachkovci!E27+Sevlievo!E27+Bqla!E27+Dunav_Ruse!E27+Silistra!E27+Tutrakan!E27+Seslav!E27+Karakuz!E27+Razgrad!E27+Voden!E27</f>
        <v>3667</v>
      </c>
      <c r="F27" s="161">
        <f>Bujnovci!F27+Elena!F27+Bolqrka!F27+Gorna!F27+Svishtov!F27+Rosica!F27+Gabrovo!F27+Plachkovci!F27+Sevlievo!F27+Bqla!F27+Dunav_Ruse!F27+Silistra!F27+Tutrakan!F27+Seslav!F27+Karakuz!F27+Razgrad!F27+Voden!F27</f>
        <v>4369</v>
      </c>
      <c r="G27" s="161">
        <f>Bujnovci!G27+Elena!G27+Bolqrka!G27+Gorna!G27+Svishtov!G27+Rosica!G27+Gabrovo!G27+Plachkovci!G27+Sevlievo!G27+Bqla!G27+Dunav_Ruse!G27+Silistra!G27+Tutrakan!G27+Seslav!G27+Karakuz!G27+Razgrad!G27+Voden!G27</f>
        <v>584</v>
      </c>
      <c r="H27" s="161">
        <f>Bujnovci!H27+Elena!H27+Bolqrka!H27+Gorna!H27+Svishtov!H27+Rosica!H27+Gabrovo!H27+Plachkovci!H27+Sevlievo!H27+Bqla!H27+Dunav_Ruse!H27+Silistra!H27+Tutrakan!H27+Seslav!H27+Karakuz!H27+Razgrad!H27+Voden!H27</f>
        <v>24821</v>
      </c>
      <c r="I27" s="162"/>
      <c r="J27" s="160" t="s">
        <v>24</v>
      </c>
      <c r="K27" s="163">
        <f>Bujnovci!K27+Elena!K27+Bolqrka!K27+Gorna!K27+Svishtov!K27+Rosica!K27+Gabrovo!K27+Plachkovci!K27+Sevlievo!K27+Bqla!K27+Dunav_Ruse!K27+Silistra!K27+Tutrakan!K27+Seslav!K27+Karakuz!K27+Razgrad!K27+Voden!K27</f>
        <v>361.59999999999997</v>
      </c>
      <c r="L27" s="161">
        <f>Bujnovci!L27+Elena!L27+Bolqrka!L27+Gorna!L27+Svishtov!L27+Rosica!L27+Gabrovo!L27+Plachkovci!L27+Sevlievo!L27+Bqla!L27+Dunav_Ruse!L27+Silistra!L27+Tutrakan!L27+Seslav!L27+Karakuz!L27+Razgrad!L27+Voden!L27</f>
        <v>13805</v>
      </c>
      <c r="M27" s="161">
        <f>Bujnovci!M27+Elena!M27+Bolqrka!M27+Gorna!M27+Svishtov!M27+Rosica!M27+Gabrovo!M27+Plachkovci!M27+Sevlievo!M27+Bqla!M27+Dunav_Ruse!M27+Silistra!M27+Tutrakan!M27+Seslav!M27+Karakuz!M27+Razgrad!M27+Voden!M27</f>
        <v>12254</v>
      </c>
      <c r="N27" s="161">
        <f>Bujnovci!N27+Elena!N27+Bolqrka!N27+Gorna!N27+Svishtov!N27+Rosica!N27+Gabrovo!N27+Plachkovci!N27+Sevlievo!N27+Bqla!N27+Dunav_Ruse!N27+Silistra!N27+Tutrakan!N27+Seslav!N27+Karakuz!N27+Razgrad!N27+Voden!N27</f>
        <v>1519</v>
      </c>
      <c r="O27" s="161">
        <f>Bujnovci!O27+Elena!O27+Bolqrka!O27+Gorna!O27+Svishtov!O27+Rosica!O27+Gabrovo!O27+Plachkovci!O27+Sevlievo!O27+Bqla!O27+Dunav_Ruse!O27+Silistra!O27+Tutrakan!O27+Seslav!O27+Karakuz!O27+Razgrad!O27+Voden!O27</f>
        <v>1942</v>
      </c>
      <c r="P27" s="161">
        <f>Bujnovci!P27+Elena!P27+Bolqrka!P27+Gorna!P27+Svishtov!P27+Rosica!P27+Gabrovo!P27+Plachkovci!P27+Sevlievo!P27+Bqla!P27+Dunav_Ruse!P27+Silistra!P27+Tutrakan!P27+Seslav!P27+Karakuz!P27+Razgrad!P27+Voden!P27</f>
        <v>342</v>
      </c>
      <c r="Q27" s="161">
        <f>Bujnovci!Q27+Elena!Q27+Bolqrka!Q27+Gorna!Q27+Svishtov!Q27+Rosica!Q27+Gabrovo!Q27+Plachkovci!Q27+Sevlievo!Q27+Bqla!Q27+Dunav_Ruse!Q27+Silistra!Q27+Tutrakan!Q27+Seslav!Q27+Karakuz!Q27+Razgrad!Q27+Voden!Q27</f>
        <v>8451</v>
      </c>
      <c r="R27" s="160" t="s">
        <v>24</v>
      </c>
      <c r="S27" s="163">
        <f>Bujnovci!S27+Elena!S27+Bolqrka!S27+Gorna!S27+Svishtov!S27+Rosica!S27+Gabrovo!S27+Plachkovci!S27+Sevlievo!S27+Bqla!S27+Dunav_Ruse!S27+Silistra!S27+Tutrakan!S27+Seslav!S27+Karakuz!S27+Razgrad!S27+Voden!S27</f>
        <v>590.62</v>
      </c>
      <c r="T27" s="161">
        <f>Bujnovci!T27+Elena!T27+Bolqrka!T27+Gorna!T27+Svishtov!T27+Rosica!T27+Gabrovo!T27+Plachkovci!T27+Sevlievo!T27+Bqla!T27+Dunav_Ruse!T27+Silistra!T27+Tutrakan!T27+Seslav!T27+Karakuz!T27+Razgrad!T27+Voden!T27</f>
        <v>22889</v>
      </c>
      <c r="U27" s="161">
        <f>Bujnovci!U27+Elena!U27+Bolqrka!U27+Gorna!U27+Svishtov!U27+Rosica!U27+Gabrovo!U27+Plachkovci!U27+Sevlievo!U27+Bqla!U27+Dunav_Ruse!U27+Silistra!U27+Tutrakan!U27+Seslav!U27+Karakuz!U27+Razgrad!U27+Voden!U27</f>
        <v>20624</v>
      </c>
      <c r="V27" s="161">
        <f>Bujnovci!V27+Elena!V27+Bolqrka!V27+Gorna!V27+Svishtov!V27+Rosica!V27+Gabrovo!V27+Plachkovci!V27+Sevlievo!V27+Bqla!V27+Dunav_Ruse!V27+Silistra!V27+Tutrakan!V27+Seslav!V27+Karakuz!V27+Razgrad!V27+Voden!V27</f>
        <v>2084</v>
      </c>
      <c r="W27" s="161">
        <f>Bujnovci!W27+Elena!W27+Bolqrka!W27+Gorna!W27+Svishtov!W27+Rosica!W27+Gabrovo!W27+Plachkovci!W27+Sevlievo!W27+Bqla!W27+Dunav_Ruse!W27+Silistra!W27+Tutrakan!W27+Seslav!W27+Karakuz!W27+Razgrad!W27+Voden!W27</f>
        <v>2238</v>
      </c>
      <c r="X27" s="161">
        <f>Bujnovci!X27+Elena!X27+Bolqrka!X27+Gorna!X27+Svishtov!X27+Rosica!X27+Gabrovo!X27+Plachkovci!X27+Sevlievo!X27+Bqla!X27+Dunav_Ruse!X27+Silistra!X27+Tutrakan!X27+Seslav!X27+Karakuz!X27+Razgrad!X27+Voden!X27</f>
        <v>222</v>
      </c>
      <c r="Y27" s="161">
        <f>Bujnovci!Y27+Elena!Y27+Bolqrka!Y27+Gorna!Y27+Svishtov!Y27+Rosica!Y27+Gabrovo!Y27+Plachkovci!Y27+Sevlievo!Y27+Bqla!Y27+Dunav_Ruse!Y27+Silistra!Y27+Tutrakan!Y27+Seslav!Y27+Karakuz!Y27+Razgrad!Y27+Voden!Y27</f>
        <v>16080</v>
      </c>
      <c r="Z27" s="162"/>
      <c r="AA27" s="160" t="s">
        <v>24</v>
      </c>
      <c r="AB27" s="163">
        <f>Bujnovci!AB27+Elena!AB27+Bolqrka!AB27+Gorna!AB27+Svishtov!AB27+Rosica!AB27+Gabrovo!AB27+Plachkovci!AB27+Sevlievo!AB27+Bqla!AB27+Dunav_Ruse!AB27+Silistra!AB27+Tutrakan!AB27+Seslav!AB27+Karakuz!AB27+Razgrad!AB27+Voden!AB27</f>
        <v>64.25</v>
      </c>
      <c r="AC27" s="161">
        <f>Bujnovci!AC27+Elena!AC27+Bolqrka!AC27+Gorna!AC27+Svishtov!AC27+Rosica!AC27+Gabrovo!AC27+Plachkovci!AC27+Sevlievo!AC27+Bqla!AC27+Dunav_Ruse!AC27+Silistra!AC27+Tutrakan!AC27+Seslav!AC27+Karakuz!AC27+Razgrad!AC27+Voden!AC27</f>
        <v>2816</v>
      </c>
      <c r="AD27" s="161">
        <f>Bujnovci!AD27+Elena!AD27+Bolqrka!AD27+Gorna!AD27+Svishtov!AD27+Rosica!AD27+Gabrovo!AD27+Plachkovci!AD27+Sevlievo!AD27+Bqla!AD27+Dunav_Ruse!AD27+Silistra!AD27+Tutrakan!AD27+Seslav!AD27+Karakuz!AD27+Razgrad!AD27+Voden!AD27</f>
        <v>2481</v>
      </c>
      <c r="AE27" s="161">
        <f>Bujnovci!AE27+Elena!AE27+Bolqrka!AE27+Gorna!AE27+Svishtov!AE27+Rosica!AE27+Gabrovo!AE27+Plachkovci!AE27+Sevlievo!AE27+Bqla!AE27+Dunav_Ruse!AE27+Silistra!AE27+Tutrakan!AE27+Seslav!AE27+Karakuz!AE27+Razgrad!AE27+Voden!AE27</f>
        <v>509</v>
      </c>
      <c r="AF27" s="161">
        <f>Bujnovci!AF27+Elena!AF27+Bolqrka!AF27+Gorna!AF27+Svishtov!AF27+Rosica!AF27+Gabrovo!AF27+Plachkovci!AF27+Sevlievo!AF27+Bqla!AF27+Dunav_Ruse!AF27+Silistra!AF27+Tutrakan!AF27+Seslav!AF27+Karakuz!AF27+Razgrad!AF27+Voden!AF27</f>
        <v>111</v>
      </c>
      <c r="AG27" s="161">
        <f>Bujnovci!AG27+Elena!AG27+Bolqrka!AG27+Gorna!AG27+Svishtov!AG27+Rosica!AG27+Gabrovo!AG27+Plachkovci!AG27+Sevlievo!AG27+Bqla!AG27+Dunav_Ruse!AG27+Silistra!AG27+Tutrakan!AG27+Seslav!AG27+Karakuz!AG27+Razgrad!AG27+Voden!AG27</f>
        <v>34</v>
      </c>
      <c r="AH27" s="161">
        <f>Bujnovci!AH27+Elena!AH27+Bolqrka!AH27+Gorna!AH27+Svishtov!AH27+Rosica!AH27+Gabrovo!AH27+Plachkovci!AH27+Sevlievo!AH27+Bqla!AH27+Dunav_Ruse!AH27+Silistra!AH27+Tutrakan!AH27+Seslav!AH27+Karakuz!AH27+Razgrad!AH27+Voden!AH27</f>
        <v>1827</v>
      </c>
      <c r="AI27" s="166"/>
      <c r="AJ27" s="161" t="s">
        <v>24</v>
      </c>
      <c r="AK27" s="163">
        <f>Bujnovci!AK27+Elena!AK27+Bolqrka!AK27+Gorna!AK27+Svishtov!AK27+Rosica!AK27+Gabrovo!AK27+Plachkovci!AK27+Sevlievo!AK27+Bqla!AK27+Dunav_Ruse!AK27+Silistra!AK27+Tutrakan!AK27+Seslav!AK27+Karakuz!AK27+Razgrad!AK27+Voden!AK27</f>
        <v>8.3000000000000007</v>
      </c>
      <c r="AL27" s="161">
        <f>Bujnovci!AL27+Elena!AL27+Bolqrka!AL27+Gorna!AL27+Svishtov!AL27+Rosica!AL27+Gabrovo!AL27+Plachkovci!AL27+Sevlievo!AL27+Bqla!AL27+Dunav_Ruse!AL27+Silistra!AL27+Tutrakan!AL27+Seslav!AL27+Karakuz!AL27+Razgrad!AL27+Voden!AL27</f>
        <v>637</v>
      </c>
      <c r="AM27" s="161">
        <f>Bujnovci!AM27+Elena!AM27+Bolqrka!AM27+Gorna!AM27+Svishtov!AM27+Rosica!AM27+Gabrovo!AM27+Plachkovci!AM27+Sevlievo!AM27+Bqla!AM27+Dunav_Ruse!AM27+Silistra!AM27+Tutrakan!AM27+Seslav!AM27+Karakuz!AM27+Razgrad!AM27+Voden!AM27</f>
        <v>563</v>
      </c>
      <c r="AN27" s="161">
        <f>Bujnovci!AN27+Elena!AN27+Bolqrka!AN27+Gorna!AN27+Svishtov!AN27+Rosica!AN27+Gabrovo!AN27+Plachkovci!AN27+Sevlievo!AN27+Bqla!AN27+Dunav_Ruse!AN27+Silistra!AN27+Tutrakan!AN27+Seslav!AN27+Karakuz!AN27+Razgrad!AN27+Voden!AN27</f>
        <v>64</v>
      </c>
      <c r="AO27" s="161">
        <f>Bujnovci!AO27+Elena!AO27+Bolqrka!AO27+Gorna!AO27+Svishtov!AO27+Rosica!AO27+Gabrovo!AO27+Plachkovci!AO27+Sevlievo!AO27+Bqla!AO27+Dunav_Ruse!AO27+Silistra!AO27+Tutrakan!AO27+Seslav!AO27+Karakuz!AO27+Razgrad!AO27+Voden!AO27</f>
        <v>189</v>
      </c>
      <c r="AP27" s="161">
        <f>Bujnovci!AP27+Elena!AP27+Bolqrka!AP27+Gorna!AP27+Svishtov!AP27+Rosica!AP27+Gabrovo!AP27+Plachkovci!AP27+Sevlievo!AP27+Bqla!AP27+Dunav_Ruse!AP27+Silistra!AP27+Tutrakan!AP27+Seslav!AP27+Karakuz!AP27+Razgrad!AP27+Voden!AP27</f>
        <v>20</v>
      </c>
      <c r="AQ27" s="161">
        <f>Bujnovci!AQ27+Elena!AQ27+Bolqrka!AQ27+Gorna!AQ27+Svishtov!AQ27+Rosica!AQ27+Gabrovo!AQ27+Plachkovci!AQ27+Sevlievo!AQ27+Bqla!AQ27+Dunav_Ruse!AQ27+Silistra!AQ27+Tutrakan!AQ27+Seslav!AQ27+Karakuz!AQ27+Razgrad!AQ27+Voden!AQ27</f>
        <v>290</v>
      </c>
      <c r="AR27" s="162"/>
      <c r="AS27" s="162"/>
    </row>
    <row r="28" spans="1:45" ht="12">
      <c r="A28" s="160" t="s">
        <v>12</v>
      </c>
      <c r="B28" s="161">
        <f t="shared" ref="B28:H28" si="20">B27/B26*100</f>
        <v>98.375632438190067</v>
      </c>
      <c r="C28" s="161">
        <f t="shared" si="20"/>
        <v>86.953787384701386</v>
      </c>
      <c r="D28" s="161">
        <f t="shared" si="20"/>
        <v>89.78775389654848</v>
      </c>
      <c r="E28" s="161">
        <f t="shared" si="20"/>
        <v>111.3405192044937</v>
      </c>
      <c r="F28" s="161">
        <f t="shared" si="20"/>
        <v>58.471627408993577</v>
      </c>
      <c r="G28" s="161">
        <f t="shared" si="20"/>
        <v>44.768110387121503</v>
      </c>
      <c r="H28" s="161">
        <f t="shared" si="20"/>
        <v>98.854969432662244</v>
      </c>
      <c r="I28" s="162"/>
      <c r="J28" s="160" t="s">
        <v>12</v>
      </c>
      <c r="K28" s="161">
        <f t="shared" ref="K28:Q28" si="21">K27/K26*100</f>
        <v>111.06674447891392</v>
      </c>
      <c r="L28" s="161">
        <f t="shared" si="21"/>
        <v>115.81375838926174</v>
      </c>
      <c r="M28" s="161">
        <f t="shared" si="21"/>
        <v>122.9580573951435</v>
      </c>
      <c r="N28" s="161">
        <f t="shared" si="21"/>
        <v>218.87608069164264</v>
      </c>
      <c r="O28" s="161">
        <f t="shared" si="21"/>
        <v>82.270705359034096</v>
      </c>
      <c r="P28" s="161">
        <f t="shared" si="21"/>
        <v>76.681614349775785</v>
      </c>
      <c r="Q28" s="161">
        <f t="shared" si="21"/>
        <v>131.3388763695703</v>
      </c>
      <c r="R28" s="160" t="s">
        <v>12</v>
      </c>
      <c r="S28" s="161">
        <f t="shared" ref="S28:Y28" si="22">S27/S26*100</f>
        <v>92.239696397057671</v>
      </c>
      <c r="T28" s="161">
        <f t="shared" si="22"/>
        <v>74.766446723721174</v>
      </c>
      <c r="U28" s="161">
        <f t="shared" si="22"/>
        <v>76.570940615196122</v>
      </c>
      <c r="V28" s="161">
        <f t="shared" si="22"/>
        <v>80.385728061716492</v>
      </c>
      <c r="W28" s="161">
        <f t="shared" si="22"/>
        <v>44.242364337254124</v>
      </c>
      <c r="X28" s="161">
        <f t="shared" si="22"/>
        <v>26.444312090530076</v>
      </c>
      <c r="Y28" s="161">
        <f t="shared" si="22"/>
        <v>87.348579499158021</v>
      </c>
      <c r="Z28" s="162"/>
      <c r="AA28" s="160" t="s">
        <v>12</v>
      </c>
      <c r="AB28" s="161">
        <f t="shared" ref="AB28:AH28" si="23">AB27/AB26*100</f>
        <v>46.386542487907015</v>
      </c>
      <c r="AC28" s="161">
        <f t="shared" si="23"/>
        <v>37.841832963784185</v>
      </c>
      <c r="AD28" s="161">
        <f t="shared" si="23"/>
        <v>39.695999999999998</v>
      </c>
      <c r="AE28" s="161">
        <f t="shared" si="23"/>
        <v>30.342771982116247</v>
      </c>
      <c r="AF28" s="161">
        <f t="shared" si="23"/>
        <v>21.305182341650671</v>
      </c>
      <c r="AG28" s="161">
        <f t="shared" si="23"/>
        <v>33.497536945812804</v>
      </c>
      <c r="AH28" s="161">
        <f t="shared" si="23"/>
        <v>46.25316455696202</v>
      </c>
      <c r="AI28" s="169"/>
      <c r="AJ28" s="200" t="s">
        <v>12</v>
      </c>
      <c r="AK28" s="161">
        <f t="shared" ref="AK28:AQ28" si="24">AK27/AK26*100</f>
        <v>79.047619047619051</v>
      </c>
      <c r="AL28" s="161">
        <f t="shared" si="24"/>
        <v>160.0502512562814</v>
      </c>
      <c r="AM28" s="161">
        <f t="shared" si="24"/>
        <v>163.66279069767441</v>
      </c>
      <c r="AN28" s="161">
        <f t="shared" si="24"/>
        <v>914.28571428571422</v>
      </c>
      <c r="AO28" s="161">
        <f t="shared" si="24"/>
        <v>356.60377358490564</v>
      </c>
      <c r="AP28" s="161">
        <f t="shared" si="24"/>
        <v>105.26315789473684</v>
      </c>
      <c r="AQ28" s="161">
        <f t="shared" si="24"/>
        <v>109.43396226415094</v>
      </c>
      <c r="AR28" s="162"/>
      <c r="AS28" s="162"/>
    </row>
    <row r="29" spans="1:45" ht="12">
      <c r="A29" s="160" t="s">
        <v>25</v>
      </c>
      <c r="B29" s="163">
        <f>Bujnovci!B29+Elena!B29+Bolqrka!B29+Gorna!B29+Svishtov!B29+Rosica!B29+Gabrovo!B29+Plachkovci!B29+Sevlievo!B29+Bqla!B29+Dunav_Ruse!B29+Silistra!B29+Tutrakan!B29+Seslav!B29+Karakuz!B29+Razgrad!B29+Voden!B29</f>
        <v>2883.1200000000003</v>
      </c>
      <c r="C29" s="161">
        <f>Bujnovci!C29+Elena!C29+Bolqrka!C29+Gorna!C29+Svishtov!C29+Rosica!C29+Gabrovo!C29+Plachkovci!C29+Sevlievo!C29+Bqla!C29+Dunav_Ruse!C29+Silistra!C29+Tutrakan!C29+Seslav!C29+Karakuz!C29+Razgrad!C29+Voden!C29</f>
        <v>123882</v>
      </c>
      <c r="D29" s="161">
        <f>Bujnovci!D29+Elena!D29+Bolqrka!D29+Gorna!D29+Svishtov!D29+Rosica!D29+Gabrovo!D29+Plachkovci!D29+Sevlievo!D29+Bqla!D29+Dunav_Ruse!D29+Silistra!D29+Tutrakan!D29+Seslav!D29+Karakuz!D29+Razgrad!D29+Voden!D29</f>
        <v>108237</v>
      </c>
      <c r="E29" s="161">
        <f>Bujnovci!E29+Elena!E29+Bolqrka!E29+Gorna!E29+Svishtov!E29+Rosica!E29+Gabrovo!E29+Plachkovci!E29+Sevlievo!E29+Bqla!E29+Dunav_Ruse!E29+Silistra!E29+Tutrakan!E29+Seslav!E29+Karakuz!E29+Razgrad!E29+Voden!E29</f>
        <v>9562</v>
      </c>
      <c r="F29" s="161">
        <f>Bujnovci!F29+Elena!F29+Bolqrka!F29+Gorna!F29+Svishtov!F29+Rosica!F29+Gabrovo!F29+Plachkovci!F29+Sevlievo!F29+Bqla!F29+Dunav_Ruse!F29+Silistra!F29+Tutrakan!F29+Seslav!F29+Karakuz!F29+Razgrad!F29+Voden!F29</f>
        <v>21433.5</v>
      </c>
      <c r="G29" s="161">
        <f>Bujnovci!G29+Elena!G29+Bolqrka!G29+Gorna!G29+Svishtov!G29+Rosica!G29+Gabrovo!G29+Plachkovci!G29+Sevlievo!G29+Bqla!G29+Dunav_Ruse!G29+Silistra!G29+Tutrakan!G29+Seslav!G29+Karakuz!G29+Razgrad!G29+Voden!G29</f>
        <v>2603.5</v>
      </c>
      <c r="H29" s="161">
        <f>Bujnovci!H29+Elena!H29+Bolqrka!H29+Gorna!H29+Svishtov!H29+Rosica!H29+Gabrovo!H29+Plachkovci!H29+Sevlievo!H29+Bqla!H29+Dunav_Ruse!H29+Silistra!H29+Tutrakan!H29+Seslav!H29+Karakuz!H29+Razgrad!H29+Voden!H29</f>
        <v>74241</v>
      </c>
      <c r="I29" s="162"/>
      <c r="J29" s="160" t="s">
        <v>25</v>
      </c>
      <c r="K29" s="163">
        <f>Bujnovci!K29+Elena!K29+Bolqrka!K29+Gorna!K29+Svishtov!K29+Rosica!K29+Gabrovo!K29+Plachkovci!K29+Sevlievo!K29+Bqla!K29+Dunav_Ruse!K29+Silistra!K29+Tutrakan!K29+Seslav!K29+Karakuz!K29+Razgrad!K29+Voden!K29</f>
        <v>634.84</v>
      </c>
      <c r="L29" s="161">
        <f>Bujnovci!L29+Elena!L29+Bolqrka!L29+Gorna!L29+Svishtov!L29+Rosica!L29+Gabrovo!L29+Plachkovci!L29+Sevlievo!L29+Bqla!L29+Dunav_Ruse!L29+Silistra!L29+Tutrakan!L29+Seslav!L29+Karakuz!L29+Razgrad!L29+Voden!L29</f>
        <v>15873.5</v>
      </c>
      <c r="M29" s="161">
        <f>Bujnovci!M29+Elena!M29+Bolqrka!M29+Gorna!M29+Svishtov!M29+Rosica!M29+Gabrovo!M29+Plachkovci!M29+Sevlievo!M29+Bqla!M29+Dunav_Ruse!M29+Silistra!M29+Tutrakan!M29+Seslav!M29+Karakuz!M29+Razgrad!M29+Voden!M29</f>
        <v>13504.5</v>
      </c>
      <c r="N29" s="161">
        <f>Bujnovci!N29+Elena!N29+Bolqrka!N29+Gorna!N29+Svishtov!N29+Rosica!N29+Gabrovo!N29+Plachkovci!N29+Sevlievo!N29+Bqla!N29+Dunav_Ruse!N29+Silistra!N29+Tutrakan!N29+Seslav!N29+Karakuz!N29+Razgrad!N29+Voden!N29</f>
        <v>404.5</v>
      </c>
      <c r="O29" s="161">
        <f>Bujnovci!O29+Elena!O29+Bolqrka!O29+Gorna!O29+Svishtov!O29+Rosica!O29+Gabrovo!O29+Plachkovci!O29+Sevlievo!O29+Bqla!O29+Dunav_Ruse!O29+Silistra!O29+Tutrakan!O29+Seslav!O29+Karakuz!O29+Razgrad!O29+Voden!O29</f>
        <v>2635</v>
      </c>
      <c r="P29" s="161">
        <f>Bujnovci!P29+Elena!P29+Bolqrka!P29+Gorna!P29+Svishtov!P29+Rosica!P29+Gabrovo!P29+Plachkovci!P29+Sevlievo!P29+Bqla!P29+Dunav_Ruse!P29+Silistra!P29+Tutrakan!P29+Seslav!P29+Karakuz!P29+Razgrad!P29+Voden!P29</f>
        <v>597</v>
      </c>
      <c r="Q29" s="161">
        <f>Bujnovci!Q29+Elena!Q29+Bolqrka!Q29+Gorna!Q29+Svishtov!Q29+Rosica!Q29+Gabrovo!Q29+Plachkovci!Q29+Sevlievo!Q29+Bqla!Q29+Dunav_Ruse!Q29+Silistra!Q29+Tutrakan!Q29+Seslav!Q29+Karakuz!Q29+Razgrad!Q29+Voden!Q29</f>
        <v>9759.5</v>
      </c>
      <c r="R29" s="160" t="s">
        <v>25</v>
      </c>
      <c r="S29" s="163">
        <f>Bujnovci!S29+Elena!S29+Bolqrka!S29+Gorna!S29+Svishtov!S29+Rosica!S29+Gabrovo!S29+Plachkovci!S29+Sevlievo!S29+Bqla!S29+Dunav_Ruse!S29+Silistra!S29+Tutrakan!S29+Seslav!S29+Karakuz!S29+Razgrad!S29+Voden!S29</f>
        <v>2214.98</v>
      </c>
      <c r="T29" s="161">
        <f>Bujnovci!T29+Elena!T29+Bolqrka!T29+Gorna!T29+Svishtov!T29+Rosica!T29+Gabrovo!T29+Plachkovci!T29+Sevlievo!T29+Bqla!T29+Dunav_Ruse!T29+Silistra!T29+Tutrakan!T29+Seslav!T29+Karakuz!T29+Razgrad!T29+Voden!T29</f>
        <v>106768.5</v>
      </c>
      <c r="U29" s="161">
        <f>Bujnovci!U29+Elena!U29+Bolqrka!U29+Gorna!U29+Svishtov!U29+Rosica!U29+Gabrovo!U29+Plachkovci!U29+Sevlievo!U29+Bqla!U29+Dunav_Ruse!U29+Silistra!U29+Tutrakan!U29+Seslav!U29+Karakuz!U29+Razgrad!U29+Voden!U29</f>
        <v>93697.5</v>
      </c>
      <c r="V29" s="161">
        <f>Bujnovci!V29+Elena!V29+Bolqrka!V29+Gorna!V29+Svishtov!V29+Rosica!V29+Gabrovo!V29+Plachkovci!V29+Sevlievo!V29+Bqla!V29+Dunav_Ruse!V29+Silistra!V29+Tutrakan!V29+Seslav!V29+Karakuz!V29+Razgrad!V29+Voden!V29</f>
        <v>9136.5</v>
      </c>
      <c r="W29" s="161">
        <f>Bujnovci!W29+Elena!W29+Bolqrka!W29+Gorna!W29+Svishtov!W29+Rosica!W29+Gabrovo!W29+Plachkovci!W29+Sevlievo!W29+Bqla!W29+Dunav_Ruse!W29+Silistra!W29+Tutrakan!W29+Seslav!W29+Karakuz!W29+Razgrad!W29+Voden!W29</f>
        <v>18683.5</v>
      </c>
      <c r="X29" s="161">
        <f>Bujnovci!X29+Elena!X29+Bolqrka!X29+Gorna!X29+Svishtov!X29+Rosica!X29+Gabrovo!X29+Plachkovci!X29+Sevlievo!X29+Bqla!X29+Dunav_Ruse!X29+Silistra!X29+Tutrakan!X29+Seslav!X29+Karakuz!X29+Razgrad!X29+Voden!X29</f>
        <v>1921.5</v>
      </c>
      <c r="Y29" s="161">
        <f>Bujnovci!Y29+Elena!Y29+Bolqrka!Y29+Gorna!Y29+Svishtov!Y29+Rosica!Y29+Gabrovo!Y29+Plachkovci!Y29+Sevlievo!Y29+Bqla!Y29+Dunav_Ruse!Y29+Silistra!Y29+Tutrakan!Y29+Seslav!Y29+Karakuz!Y29+Razgrad!Y29+Voden!Y29</f>
        <v>63668.5</v>
      </c>
      <c r="Z29" s="162"/>
      <c r="AA29" s="160" t="s">
        <v>25</v>
      </c>
      <c r="AB29" s="163">
        <f>Bujnovci!AB29+Elena!AB29+Bolqrka!AB29+Gorna!AB29+Svishtov!AB29+Rosica!AB29+Gabrovo!AB29+Plachkovci!AB29+Sevlievo!AB29+Bqla!AB29+Dunav_Ruse!AB29+Silistra!AB29+Tutrakan!AB29+Seslav!AB29+Karakuz!AB29+Razgrad!AB29+Voden!AB29</f>
        <v>188.68</v>
      </c>
      <c r="AC29" s="161">
        <f>Bujnovci!AC29+Elena!AC29+Bolqrka!AC29+Gorna!AC29+Svishtov!AC29+Rosica!AC29+Gabrovo!AC29+Plachkovci!AC29+Sevlievo!AC29+Bqla!AC29+Dunav_Ruse!AC29+Silistra!AC29+Tutrakan!AC29+Seslav!AC29+Karakuz!AC29+Razgrad!AC29+Voden!AC29</f>
        <v>11967</v>
      </c>
      <c r="AD29" s="161">
        <f>Bujnovci!AD29+Elena!AD29+Bolqrka!AD29+Gorna!AD29+Svishtov!AD29+Rosica!AD29+Gabrovo!AD29+Plachkovci!AD29+Sevlievo!AD29+Bqla!AD29+Dunav_Ruse!AD29+Silistra!AD29+Tutrakan!AD29+Seslav!AD29+Karakuz!AD29+Razgrad!AD29+Voden!AD29</f>
        <v>10090</v>
      </c>
      <c r="AE29" s="161">
        <f>Bujnovci!AE29+Elena!AE29+Bolqrka!AE29+Gorna!AE29+Svishtov!AE29+Rosica!AE29+Gabrovo!AE29+Plachkovci!AE29+Sevlievo!AE29+Bqla!AE29+Dunav_Ruse!AE29+Silistra!AE29+Tutrakan!AE29+Seslav!AE29+Karakuz!AE29+Razgrad!AE29+Voden!AE29</f>
        <v>2990.5</v>
      </c>
      <c r="AF29" s="161">
        <f>Bujnovci!AF29+Elena!AF29+Bolqrka!AF29+Gorna!AF29+Svishtov!AF29+Rosica!AF29+Gabrovo!AF29+Plachkovci!AF29+Sevlievo!AF29+Bqla!AF29+Dunav_Ruse!AF29+Silistra!AF29+Tutrakan!AF29+Seslav!AF29+Karakuz!AF29+Razgrad!AF29+Voden!AF29</f>
        <v>623</v>
      </c>
      <c r="AG29" s="161">
        <f>Bujnovci!AG29+Elena!AG29+Bolqrka!AG29+Gorna!AG29+Svishtov!AG29+Rosica!AG29+Gabrovo!AG29+Plachkovci!AG29+Sevlievo!AG29+Bqla!AG29+Dunav_Ruse!AG29+Silistra!AG29+Tutrakan!AG29+Seslav!AG29+Karakuz!AG29+Razgrad!AG29+Voden!AG29</f>
        <v>192.5</v>
      </c>
      <c r="AH29" s="161">
        <f>Bujnovci!AH29+Elena!AH29+Bolqrka!AH29+Gorna!AH29+Svishtov!AH29+Rosica!AH29+Gabrovo!AH29+Plachkovci!AH29+Sevlievo!AH29+Bqla!AH29+Dunav_Ruse!AH29+Silistra!AH29+Tutrakan!AH29+Seslav!AH29+Karakuz!AH29+Razgrad!AH29+Voden!AH29</f>
        <v>6274.5</v>
      </c>
      <c r="AI29" s="166"/>
      <c r="AJ29" s="161" t="s">
        <v>25</v>
      </c>
      <c r="AK29" s="163">
        <f>Bujnovci!AK29+Elena!AK29+Bolqrka!AK29+Gorna!AK29+Svishtov!AK29+Rosica!AK29+Gabrovo!AK29+Plachkovci!AK29+Sevlievo!AK29+Bqla!AK29+Dunav_Ruse!AK29+Silistra!AK29+Tutrakan!AK29+Seslav!AK29+Karakuz!AK29+Razgrad!AK29+Voden!AK29</f>
        <v>33.300000000000004</v>
      </c>
      <c r="AL29" s="161">
        <f>Bujnovci!AL29+Elena!AL29+Bolqrka!AL29+Gorna!AL29+Svishtov!AL29+Rosica!AL29+Gabrovo!AL29+Plachkovci!AL29+Sevlievo!AL29+Bqla!AL29+Dunav_Ruse!AL29+Silistra!AL29+Tutrakan!AL29+Seslav!AL29+Karakuz!AL29+Razgrad!AL29+Voden!AL29</f>
        <v>1240</v>
      </c>
      <c r="AM29" s="161">
        <f>Bujnovci!AM29+Elena!AM29+Bolqrka!AM29+Gorna!AM29+Svishtov!AM29+Rosica!AM29+Gabrovo!AM29+Plachkovci!AM29+Sevlievo!AM29+Bqla!AM29+Dunav_Ruse!AM29+Silistra!AM29+Tutrakan!AM29+Seslav!AM29+Karakuz!AM29+Razgrad!AM29+Voden!AM29</f>
        <v>1035</v>
      </c>
      <c r="AN29" s="161">
        <f>Bujnovci!AN29+Elena!AN29+Bolqrka!AN29+Gorna!AN29+Svishtov!AN29+Rosica!AN29+Gabrovo!AN29+Plachkovci!AN29+Sevlievo!AN29+Bqla!AN29+Dunav_Ruse!AN29+Silistra!AN29+Tutrakan!AN29+Seslav!AN29+Karakuz!AN29+Razgrad!AN29+Voden!AN29</f>
        <v>21</v>
      </c>
      <c r="AO29" s="161">
        <f>Bujnovci!AO29+Elena!AO29+Bolqrka!AO29+Gorna!AO29+Svishtov!AO29+Rosica!AO29+Gabrovo!AO29+Plachkovci!AO29+Sevlievo!AO29+Bqla!AO29+Dunav_Ruse!AO29+Silistra!AO29+Tutrakan!AO29+Seslav!AO29+Karakuz!AO29+Razgrad!AO29+Voden!AO29</f>
        <v>115</v>
      </c>
      <c r="AP29" s="161">
        <f>Bujnovci!AP29+Elena!AP29+Bolqrka!AP29+Gorna!AP29+Svishtov!AP29+Rosica!AP29+Gabrovo!AP29+Plachkovci!AP29+Sevlievo!AP29+Bqla!AP29+Dunav_Ruse!AP29+Silistra!AP29+Tutrakan!AP29+Seslav!AP29+Karakuz!AP29+Razgrad!AP29+Voden!AP29</f>
        <v>85</v>
      </c>
      <c r="AQ29" s="161">
        <f>Bujnovci!AQ29+Elena!AQ29+Bolqrka!AQ29+Gorna!AQ29+Svishtov!AQ29+Rosica!AQ29+Gabrovo!AQ29+Plachkovci!AQ29+Sevlievo!AQ29+Bqla!AQ29+Dunav_Ruse!AQ29+Silistra!AQ29+Tutrakan!AQ29+Seslav!AQ29+Karakuz!AQ29+Razgrad!AQ29+Voden!AQ29</f>
        <v>813</v>
      </c>
      <c r="AR29" s="162"/>
      <c r="AS29" s="162"/>
    </row>
    <row r="30" spans="1:45" ht="12">
      <c r="A30" s="160" t="s">
        <v>26</v>
      </c>
      <c r="B30" s="163">
        <f>Bujnovci!B30+Elena!B30+Bolqrka!B30+Gorna!B30+Svishtov!B30+Rosica!B30+Gabrovo!B30+Plachkovci!B30+Sevlievo!B30+Bqla!B30+Dunav_Ruse!B30+Silistra!B30+Tutrakan!B30+Seslav!B30+Karakuz!B30+Razgrad!B30+Voden!B30</f>
        <v>2666.7299999999996</v>
      </c>
      <c r="C30" s="161">
        <f>Bujnovci!C30+Elena!C30+Bolqrka!C30+Gorna!C30+Svishtov!C30+Rosica!C30+Gabrovo!C30+Plachkovci!C30+Sevlievo!C30+Bqla!C30+Dunav_Ruse!C30+Silistra!C30+Tutrakan!C30+Seslav!C30+Karakuz!C30+Razgrad!C30+Voden!C30</f>
        <v>115800</v>
      </c>
      <c r="D30" s="161">
        <f>Bujnovci!D30+Elena!D30+Bolqrka!D30+Gorna!D30+Svishtov!D30+Rosica!D30+Gabrovo!D30+Plachkovci!D30+Sevlievo!D30+Bqla!D30+Dunav_Ruse!D30+Silistra!D30+Tutrakan!D30+Seslav!D30+Karakuz!D30+Razgrad!D30+Voden!D30</f>
        <v>107578</v>
      </c>
      <c r="E30" s="161">
        <f>Bujnovci!E30+Elena!E30+Bolqrka!E30+Gorna!E30+Svishtov!E30+Rosica!E30+Gabrovo!E30+Plachkovci!E30+Sevlievo!E30+Bqla!E30+Dunav_Ruse!E30+Silistra!E30+Tutrakan!E30+Seslav!E30+Karakuz!E30+Razgrad!E30+Voden!E30</f>
        <v>17770</v>
      </c>
      <c r="F30" s="161">
        <f>Bujnovci!F30+Elena!F30+Bolqrka!F30+Gorna!F30+Svishtov!F30+Rosica!F30+Gabrovo!F30+Plachkovci!F30+Sevlievo!F30+Bqla!F30+Dunav_Ruse!F30+Silistra!F30+Tutrakan!F30+Seslav!F30+Karakuz!F30+Razgrad!F30+Voden!F30</f>
        <v>9775</v>
      </c>
      <c r="G30" s="161">
        <f>Bujnovci!G30+Elena!G30+Bolqrka!G30+Gorna!G30+Svishtov!G30+Rosica!G30+Gabrovo!G30+Plachkovci!G30+Sevlievo!G30+Bqla!G30+Dunav_Ruse!G30+Silistra!G30+Tutrakan!G30+Seslav!G30+Karakuz!G30+Razgrad!G30+Voden!G30</f>
        <v>1450</v>
      </c>
      <c r="H30" s="161">
        <f>Bujnovci!H30+Elena!H30+Bolqrka!H30+Gorna!H30+Svishtov!H30+Rosica!H30+Gabrovo!H30+Plachkovci!H30+Sevlievo!H30+Bqla!H30+Dunav_Ruse!H30+Silistra!H30+Tutrakan!H30+Seslav!H30+Karakuz!H30+Razgrad!H30+Voden!H30</f>
        <v>78583</v>
      </c>
      <c r="I30" s="162"/>
      <c r="J30" s="160" t="s">
        <v>26</v>
      </c>
      <c r="K30" s="163">
        <f>Bujnovci!K30+Elena!K30+Bolqrka!K30+Gorna!K30+Svishtov!K30+Rosica!K30+Gabrovo!K30+Plachkovci!K30+Sevlievo!K30+Bqla!K30+Dunav_Ruse!K30+Silistra!K30+Tutrakan!K30+Seslav!K30+Karakuz!K30+Razgrad!K30+Voden!K30</f>
        <v>601.27</v>
      </c>
      <c r="L30" s="161">
        <f>Bujnovci!L30+Elena!L30+Bolqrka!L30+Gorna!L30+Svishtov!L30+Rosica!L30+Gabrovo!L30+Plachkovci!L30+Sevlievo!L30+Bqla!L30+Dunav_Ruse!L30+Silistra!L30+Tutrakan!L30+Seslav!L30+Karakuz!L30+Razgrad!L30+Voden!L30</f>
        <v>22066</v>
      </c>
      <c r="M30" s="161">
        <f>Bujnovci!M30+Elena!M30+Bolqrka!M30+Gorna!M30+Svishtov!M30+Rosica!M30+Gabrovo!M30+Plachkovci!M30+Sevlievo!M30+Bqla!M30+Dunav_Ruse!M30+Silistra!M30+Tutrakan!M30+Seslav!M30+Karakuz!M30+Razgrad!M30+Voden!M30</f>
        <v>20438</v>
      </c>
      <c r="N30" s="161">
        <f>Bujnovci!N30+Elena!N30+Bolqrka!N30+Gorna!N30+Svishtov!N30+Rosica!N30+Gabrovo!N30+Plachkovci!N30+Sevlievo!N30+Bqla!N30+Dunav_Ruse!N30+Silistra!N30+Tutrakan!N30+Seslav!N30+Karakuz!N30+Razgrad!N30+Voden!N30</f>
        <v>1179</v>
      </c>
      <c r="O30" s="161">
        <f>Bujnovci!O30+Elena!O30+Bolqrka!O30+Gorna!O30+Svishtov!O30+Rosica!O30+Gabrovo!O30+Plachkovci!O30+Sevlievo!O30+Bqla!O30+Dunav_Ruse!O30+Silistra!O30+Tutrakan!O30+Seslav!O30+Karakuz!O30+Razgrad!O30+Voden!O30</f>
        <v>2326</v>
      </c>
      <c r="P30" s="161">
        <f>Bujnovci!P30+Elena!P30+Bolqrka!P30+Gorna!P30+Svishtov!P30+Rosica!P30+Gabrovo!P30+Plachkovci!P30+Sevlievo!P30+Bqla!P30+Dunav_Ruse!P30+Silistra!P30+Tutrakan!P30+Seslav!P30+Karakuz!P30+Razgrad!P30+Voden!P30</f>
        <v>283</v>
      </c>
      <c r="Q30" s="161">
        <f>Bujnovci!Q30+Elena!Q30+Bolqrka!Q30+Gorna!Q30+Svishtov!Q30+Rosica!Q30+Gabrovo!Q30+Plachkovci!Q30+Sevlievo!Q30+Bqla!Q30+Dunav_Ruse!Q30+Silistra!Q30+Tutrakan!Q30+Seslav!Q30+Karakuz!Q30+Razgrad!Q30+Voden!Q30</f>
        <v>16650</v>
      </c>
      <c r="R30" s="160" t="s">
        <v>26</v>
      </c>
      <c r="S30" s="163">
        <f>Bujnovci!S30+Elena!S30+Bolqrka!S30+Gorna!S30+Svishtov!S30+Rosica!S30+Gabrovo!S30+Plachkovci!S30+Sevlievo!S30+Bqla!S30+Dunav_Ruse!S30+Silistra!S30+Tutrakan!S30+Seslav!S30+Karakuz!S30+Razgrad!S30+Voden!S30</f>
        <v>2063.66</v>
      </c>
      <c r="T30" s="161">
        <f>Bujnovci!T30+Elena!T30+Bolqrka!T30+Gorna!T30+Svishtov!T30+Rosica!T30+Gabrovo!T30+Plachkovci!T30+Sevlievo!T30+Bqla!T30+Dunav_Ruse!T30+Silistra!T30+Tutrakan!T30+Seslav!T30+Karakuz!T30+Razgrad!T30+Voden!T30</f>
        <v>93634</v>
      </c>
      <c r="U30" s="161">
        <f>Bujnovci!U30+Elena!U30+Bolqrka!U30+Gorna!U30+Svishtov!U30+Rosica!U30+Gabrovo!U30+Plachkovci!U30+Sevlievo!U30+Bqla!U30+Dunav_Ruse!U30+Silistra!U30+Tutrakan!U30+Seslav!U30+Karakuz!U30+Razgrad!U30+Voden!U30</f>
        <v>87043</v>
      </c>
      <c r="V30" s="161">
        <f>Bujnovci!V30+Elena!V30+Bolqrka!V30+Gorna!V30+Svishtov!V30+Rosica!V30+Gabrovo!V30+Plachkovci!V30+Sevlievo!V30+Bqla!V30+Dunav_Ruse!V30+Silistra!V30+Tutrakan!V30+Seslav!V30+Karakuz!V30+Razgrad!V30+Voden!V30</f>
        <v>16541</v>
      </c>
      <c r="W30" s="161">
        <f>Bujnovci!W30+Elena!W30+Bolqrka!W30+Gorna!W30+Svishtov!W30+Rosica!W30+Gabrovo!W30+Plachkovci!W30+Sevlievo!W30+Bqla!W30+Dunav_Ruse!W30+Silistra!W30+Tutrakan!W30+Seslav!W30+Karakuz!W30+Razgrad!W30+Voden!W30</f>
        <v>7442</v>
      </c>
      <c r="X30" s="161">
        <f>Bujnovci!X30+Elena!X30+Bolqrka!X30+Gorna!X30+Svishtov!X30+Rosica!X30+Gabrovo!X30+Plachkovci!X30+Sevlievo!X30+Bqla!X30+Dunav_Ruse!X30+Silistra!X30+Tutrakan!X30+Seslav!X30+Karakuz!X30+Razgrad!X30+Voden!X30</f>
        <v>1167</v>
      </c>
      <c r="Y30" s="161">
        <f>Bujnovci!Y30+Elena!Y30+Bolqrka!Y30+Gorna!Y30+Svishtov!Y30+Rosica!Y30+Gabrovo!Y30+Plachkovci!Y30+Sevlievo!Y30+Bqla!Y30+Dunav_Ruse!Y30+Silistra!Y30+Tutrakan!Y30+Seslav!Y30+Karakuz!Y30+Razgrad!Y30+Voden!Y30</f>
        <v>61893</v>
      </c>
      <c r="Z30" s="162"/>
      <c r="AA30" s="160" t="s">
        <v>26</v>
      </c>
      <c r="AB30" s="163">
        <f>Bujnovci!AB30+Elena!AB30+Bolqrka!AB30+Gorna!AB30+Svishtov!AB30+Rosica!AB30+Gabrovo!AB30+Plachkovci!AB30+Sevlievo!AB30+Bqla!AB30+Dunav_Ruse!AB30+Silistra!AB30+Tutrakan!AB30+Seslav!AB30+Karakuz!AB30+Razgrad!AB30+Voden!AB30</f>
        <v>81.69</v>
      </c>
      <c r="AC30" s="161">
        <f>Bujnovci!AC30+Elena!AC30+Bolqrka!AC30+Gorna!AC30+Svishtov!AC30+Rosica!AC30+Gabrovo!AC30+Plachkovci!AC30+Sevlievo!AC30+Bqla!AC30+Dunav_Ruse!AC30+Silistra!AC30+Tutrakan!AC30+Seslav!AC30+Karakuz!AC30+Razgrad!AC30+Voden!AC30</f>
        <v>4414</v>
      </c>
      <c r="AD30" s="161">
        <f>Bujnovci!AD30+Elena!AD30+Bolqrka!AD30+Gorna!AD30+Svishtov!AD30+Rosica!AD30+Gabrovo!AD30+Plachkovci!AD30+Sevlievo!AD30+Bqla!AD30+Dunav_Ruse!AD30+Silistra!AD30+Tutrakan!AD30+Seslav!AD30+Karakuz!AD30+Razgrad!AD30+Voden!AD30</f>
        <v>4030</v>
      </c>
      <c r="AE30" s="161">
        <f>Bujnovci!AE30+Elena!AE30+Bolqrka!AE30+Gorna!AE30+Svishtov!AE30+Rosica!AE30+Gabrovo!AE30+Plachkovci!AE30+Sevlievo!AE30+Bqla!AE30+Dunav_Ruse!AE30+Silistra!AE30+Tutrakan!AE30+Seslav!AE30+Karakuz!AE30+Razgrad!AE30+Voden!AE30</f>
        <v>1202</v>
      </c>
      <c r="AF30" s="161">
        <f>Bujnovci!AF30+Elena!AF30+Bolqrka!AF30+Gorna!AF30+Svishtov!AF30+Rosica!AF30+Gabrovo!AF30+Plachkovci!AF30+Sevlievo!AF30+Bqla!AF30+Dunav_Ruse!AF30+Silistra!AF30+Tutrakan!AF30+Seslav!AF30+Karakuz!AF30+Razgrad!AF30+Voden!AF30</f>
        <v>253</v>
      </c>
      <c r="AG30" s="161">
        <f>Bujnovci!AG30+Elena!AG30+Bolqrka!AG30+Gorna!AG30+Svishtov!AG30+Rosica!AG30+Gabrovo!AG30+Plachkovci!AG30+Sevlievo!AG30+Bqla!AG30+Dunav_Ruse!AG30+Silistra!AG30+Tutrakan!AG30+Seslav!AG30+Karakuz!AG30+Razgrad!AG30+Voden!AG30</f>
        <v>29</v>
      </c>
      <c r="AH30" s="161">
        <f>Bujnovci!AH30+Elena!AH30+Bolqrka!AH30+Gorna!AH30+Svishtov!AH30+Rosica!AH30+Gabrovo!AH30+Plachkovci!AH30+Sevlievo!AH30+Bqla!AH30+Dunav_Ruse!AH30+Silistra!AH30+Tutrakan!AH30+Seslav!AH30+Karakuz!AH30+Razgrad!AH30+Voden!AH30</f>
        <v>2546</v>
      </c>
      <c r="AI30" s="166"/>
      <c r="AJ30" s="161" t="s">
        <v>26</v>
      </c>
      <c r="AK30" s="163">
        <f>Bujnovci!AK30+Elena!AK30+Bolqrka!AK30+Gorna!AK30+Svishtov!AK30+Rosica!AK30+Gabrovo!AK30+Plachkovci!AK30+Sevlievo!AK30+Bqla!AK30+Dunav_Ruse!AK30+Silistra!AK30+Tutrakan!AK30+Seslav!AK30+Karakuz!AK30+Razgrad!AK30+Voden!AK30</f>
        <v>1.8</v>
      </c>
      <c r="AL30" s="161">
        <f>Bujnovci!AL30+Elena!AL30+Bolqrka!AL30+Gorna!AL30+Svishtov!AL30+Rosica!AL30+Gabrovo!AL30+Plachkovci!AL30+Sevlievo!AL30+Bqla!AL30+Dunav_Ruse!AL30+Silistra!AL30+Tutrakan!AL30+Seslav!AL30+Karakuz!AL30+Razgrad!AL30+Voden!AL30</f>
        <v>100</v>
      </c>
      <c r="AM30" s="161">
        <f>Bujnovci!AM30+Elena!AM30+Bolqrka!AM30+Gorna!AM30+Svishtov!AM30+Rosica!AM30+Gabrovo!AM30+Plachkovci!AM30+Sevlievo!AM30+Bqla!AM30+Dunav_Ruse!AM30+Silistra!AM30+Tutrakan!AM30+Seslav!AM30+Karakuz!AM30+Razgrad!AM30+Voden!AM30</f>
        <v>97</v>
      </c>
      <c r="AN30" s="161">
        <f>Bujnovci!AN30+Elena!AN30+Bolqrka!AN30+Gorna!AN30+Svishtov!AN30+Rosica!AN30+Gabrovo!AN30+Plachkovci!AN30+Sevlievo!AN30+Bqla!AN30+Dunav_Ruse!AN30+Silistra!AN30+Tutrakan!AN30+Seslav!AN30+Karakuz!AN30+Razgrad!AN30+Voden!AN30</f>
        <v>50</v>
      </c>
      <c r="AO30" s="161">
        <f>Bujnovci!AO30+Elena!AO30+Bolqrka!AO30+Gorna!AO30+Svishtov!AO30+Rosica!AO30+Gabrovo!AO30+Plachkovci!AO30+Sevlievo!AO30+Bqla!AO30+Dunav_Ruse!AO30+Silistra!AO30+Tutrakan!AO30+Seslav!AO30+Karakuz!AO30+Razgrad!AO30+Voden!AO30</f>
        <v>7</v>
      </c>
      <c r="AP30" s="161">
        <f>Bujnovci!AP30+Elena!AP30+Bolqrka!AP30+Gorna!AP30+Svishtov!AP30+Rosica!AP30+Gabrovo!AP30+Plachkovci!AP30+Sevlievo!AP30+Bqla!AP30+Dunav_Ruse!AP30+Silistra!AP30+Tutrakan!AP30+Seslav!AP30+Karakuz!AP30+Razgrad!AP30+Voden!AP30</f>
        <v>0</v>
      </c>
      <c r="AQ30" s="161">
        <f>Bujnovci!AQ30+Elena!AQ30+Bolqrka!AQ30+Gorna!AQ30+Svishtov!AQ30+Rosica!AQ30+Gabrovo!AQ30+Plachkovci!AQ30+Sevlievo!AQ30+Bqla!AQ30+Dunav_Ruse!AQ30+Silistra!AQ30+Tutrakan!AQ30+Seslav!AQ30+Karakuz!AQ30+Razgrad!AQ30+Voden!AQ30</f>
        <v>40</v>
      </c>
      <c r="AR30" s="162"/>
      <c r="AS30" s="162"/>
    </row>
    <row r="31" spans="1:45" ht="12">
      <c r="A31" s="160" t="s">
        <v>12</v>
      </c>
      <c r="B31" s="161">
        <f t="shared" ref="B31:H31" si="25">B30/B29*100</f>
        <v>92.494589195038685</v>
      </c>
      <c r="C31" s="161">
        <f t="shared" si="25"/>
        <v>93.476049789315638</v>
      </c>
      <c r="D31" s="161">
        <f t="shared" si="25"/>
        <v>99.391150900339071</v>
      </c>
      <c r="E31" s="161">
        <f t="shared" si="25"/>
        <v>185.83978247228615</v>
      </c>
      <c r="F31" s="161">
        <f t="shared" si="25"/>
        <v>45.606177245900106</v>
      </c>
      <c r="G31" s="161">
        <f t="shared" si="25"/>
        <v>55.694257729978879</v>
      </c>
      <c r="H31" s="161">
        <f t="shared" si="25"/>
        <v>105.84852035937016</v>
      </c>
      <c r="I31" s="162"/>
      <c r="J31" s="160" t="s">
        <v>12</v>
      </c>
      <c r="K31" s="161">
        <f t="shared" ref="K31:Q31" si="26">K30/K29*100</f>
        <v>94.712053430785701</v>
      </c>
      <c r="L31" s="161">
        <f t="shared" si="26"/>
        <v>139.01156014741551</v>
      </c>
      <c r="M31" s="161">
        <f t="shared" si="26"/>
        <v>151.34214521085565</v>
      </c>
      <c r="N31" s="161">
        <f t="shared" si="26"/>
        <v>291.47095179233622</v>
      </c>
      <c r="O31" s="161">
        <f t="shared" si="26"/>
        <v>88.273244781783674</v>
      </c>
      <c r="P31" s="161">
        <f t="shared" si="26"/>
        <v>47.403685092127304</v>
      </c>
      <c r="Q31" s="161">
        <f t="shared" si="26"/>
        <v>170.60300220298171</v>
      </c>
      <c r="R31" s="160" t="s">
        <v>12</v>
      </c>
      <c r="S31" s="161">
        <f t="shared" ref="S31:Y31" si="27">S30/S29*100</f>
        <v>93.168335605739088</v>
      </c>
      <c r="T31" s="161">
        <f t="shared" si="27"/>
        <v>87.698150671780539</v>
      </c>
      <c r="U31" s="161">
        <f t="shared" si="27"/>
        <v>92.897889484778133</v>
      </c>
      <c r="V31" s="161">
        <f t="shared" si="27"/>
        <v>181.04306900892027</v>
      </c>
      <c r="W31" s="161">
        <f t="shared" si="27"/>
        <v>39.831937270853963</v>
      </c>
      <c r="X31" s="161">
        <f t="shared" si="27"/>
        <v>60.733801717408276</v>
      </c>
      <c r="Y31" s="161">
        <f t="shared" si="27"/>
        <v>97.211336846321188</v>
      </c>
      <c r="Z31" s="162"/>
      <c r="AA31" s="160" t="s">
        <v>12</v>
      </c>
      <c r="AB31" s="161">
        <f t="shared" ref="AB31:AH31" si="28">AB30/AB29*100</f>
        <v>43.295526817892728</v>
      </c>
      <c r="AC31" s="161">
        <f t="shared" si="28"/>
        <v>36.88476644104621</v>
      </c>
      <c r="AD31" s="161">
        <f t="shared" si="28"/>
        <v>39.940535183349851</v>
      </c>
      <c r="AE31" s="161">
        <f t="shared" si="28"/>
        <v>40.193947500417991</v>
      </c>
      <c r="AF31" s="161">
        <f t="shared" si="28"/>
        <v>40.609951845906899</v>
      </c>
      <c r="AG31" s="161">
        <f t="shared" si="28"/>
        <v>15.064935064935064</v>
      </c>
      <c r="AH31" s="161">
        <f t="shared" si="28"/>
        <v>40.576938401466251</v>
      </c>
      <c r="AI31" s="169"/>
      <c r="AJ31" s="200" t="s">
        <v>12</v>
      </c>
      <c r="AK31" s="161">
        <f t="shared" ref="AK31:AQ31" si="29">AK30/AK29*100</f>
        <v>5.4054054054054053</v>
      </c>
      <c r="AL31" s="161">
        <f t="shared" si="29"/>
        <v>8.064516129032258</v>
      </c>
      <c r="AM31" s="161">
        <f t="shared" si="29"/>
        <v>9.3719806763285014</v>
      </c>
      <c r="AN31" s="161">
        <f t="shared" si="29"/>
        <v>238.0952380952381</v>
      </c>
      <c r="AO31" s="161">
        <f t="shared" si="29"/>
        <v>6.0869565217391308</v>
      </c>
      <c r="AP31" s="161">
        <f t="shared" si="29"/>
        <v>0</v>
      </c>
      <c r="AQ31" s="161">
        <f t="shared" si="29"/>
        <v>4.9200492004920049</v>
      </c>
      <c r="AR31" s="162"/>
      <c r="AS31" s="162"/>
    </row>
    <row r="32" spans="1:45" ht="12">
      <c r="A32" s="160" t="s">
        <v>27</v>
      </c>
      <c r="B32" s="163">
        <f>Bujnovci!B32+Elena!B32+Bolqrka!B32+Gorna!B32+Svishtov!B32+Rosica!B32+Gabrovo!B32+Plachkovci!B32+Sevlievo!B32+Bqla!B32+Dunav_Ruse!B32+Silistra!B32+Tutrakan!B32+Seslav!B32+Karakuz!B32+Razgrad!B32+Voden!B32</f>
        <v>236.61</v>
      </c>
      <c r="C32" s="161">
        <f>Bujnovci!C32+Elena!C32+Bolqrka!C32+Gorna!C32+Svishtov!C32+Rosica!C32+Gabrovo!C32+Plachkovci!C32+Sevlievo!C32+Bqla!C32+Dunav_Ruse!C32+Silistra!C32+Tutrakan!C32+Seslav!C32+Karakuz!C32+Razgrad!C32+Voden!C32</f>
        <v>55861</v>
      </c>
      <c r="D32" s="161">
        <f>Bujnovci!D32+Elena!D32+Bolqrka!D32+Gorna!D32+Svishtov!D32+Rosica!D32+Gabrovo!D32+Plachkovci!D32+Sevlievo!D32+Bqla!D32+Dunav_Ruse!D32+Silistra!D32+Tutrakan!D32+Seslav!D32+Karakuz!D32+Razgrad!D32+Voden!D32</f>
        <v>49765.5</v>
      </c>
      <c r="E32" s="161">
        <f>Bujnovci!E32+Elena!E32+Bolqrka!E32+Gorna!E32+Svishtov!E32+Rosica!E32+Gabrovo!E32+Plachkovci!E32+Sevlievo!E32+Bqla!E32+Dunav_Ruse!E32+Silistra!E32+Tutrakan!E32+Seslav!E32+Karakuz!E32+Razgrad!E32+Voden!E32</f>
        <v>33520.5</v>
      </c>
      <c r="F32" s="161">
        <f>Bujnovci!F32+Elena!F32+Bolqrka!F32+Gorna!F32+Svishtov!F32+Rosica!F32+Gabrovo!F32+Plachkovci!F32+Sevlievo!F32+Bqla!F32+Dunav_Ruse!F32+Silistra!F32+Tutrakan!F32+Seslav!F32+Karakuz!F32+Razgrad!F32+Voden!F32</f>
        <v>8818</v>
      </c>
      <c r="G32" s="161">
        <f>Bujnovci!G32+Elena!G32+Bolqrka!G32+Gorna!G32+Svishtov!G32+Rosica!G32+Gabrovo!G32+Plachkovci!G32+Sevlievo!G32+Bqla!G32+Dunav_Ruse!G32+Silistra!G32+Tutrakan!G32+Seslav!G32+Karakuz!G32+Razgrad!G32+Voden!G32</f>
        <v>1158</v>
      </c>
      <c r="H32" s="161">
        <f>Bujnovci!H32+Elena!H32+Bolqrka!H32+Gorna!H32+Svishtov!H32+Rosica!H32+Gabrovo!H32+Plachkovci!H32+Sevlievo!H32+Bqla!H32+Dunav_Ruse!H32+Silistra!H32+Tutrakan!H32+Seslav!H32+Karakuz!H32+Razgrad!H32+Voden!H32</f>
        <v>6265.5</v>
      </c>
      <c r="I32" s="162"/>
      <c r="J32" s="160" t="s">
        <v>27</v>
      </c>
      <c r="K32" s="163">
        <f>Bujnovci!K32+Elena!K32+Bolqrka!K32+Gorna!K32+Svishtov!K32+Rosica!K32+Gabrovo!K32+Plachkovci!K32+Sevlievo!K32+Bqla!K32+Dunav_Ruse!K32+Silistra!K32+Tutrakan!K32+Seslav!K32+Karakuz!K32+Razgrad!K32+Voden!K32</f>
        <v>2.3200000000000003</v>
      </c>
      <c r="L32" s="161">
        <f>Bujnovci!L32+Elena!L32+Bolqrka!L32+Gorna!L32+Svishtov!L32+Rosica!L32+Gabrovo!L32+Plachkovci!L32+Sevlievo!L32+Bqla!L32+Dunav_Ruse!L32+Silistra!L32+Tutrakan!L32+Seslav!L32+Karakuz!L32+Razgrad!L32+Voden!L32</f>
        <v>84.5</v>
      </c>
      <c r="M32" s="161">
        <f>Bujnovci!M32+Elena!M32+Bolqrka!M32+Gorna!M32+Svishtov!M32+Rosica!M32+Gabrovo!M32+Plachkovci!M32+Sevlievo!M32+Bqla!M32+Dunav_Ruse!M32+Silistra!M32+Tutrakan!M32+Seslav!M32+Karakuz!M32+Razgrad!M32+Voden!M32</f>
        <v>74.5</v>
      </c>
      <c r="N32" s="161">
        <f>Bujnovci!N32+Elena!N32+Bolqrka!N32+Gorna!N32+Svishtov!N32+Rosica!N32+Gabrovo!N32+Plachkovci!N32+Sevlievo!N32+Bqla!N32+Dunav_Ruse!N32+Silistra!N32+Tutrakan!N32+Seslav!N32+Karakuz!N32+Razgrad!N32+Voden!N32</f>
        <v>28.5</v>
      </c>
      <c r="O32" s="161">
        <f>Bujnovci!O32+Elena!O32+Bolqrka!O32+Gorna!O32+Svishtov!O32+Rosica!O32+Gabrovo!O32+Plachkovci!O32+Sevlievo!O32+Bqla!O32+Dunav_Ruse!O32+Silistra!O32+Tutrakan!O32+Seslav!O32+Karakuz!O32+Razgrad!O32+Voden!O32</f>
        <v>10</v>
      </c>
      <c r="P32" s="161">
        <f>Bujnovci!P32+Elena!P32+Bolqrka!P32+Gorna!P32+Svishtov!P32+Rosica!P32+Gabrovo!P32+Plachkovci!P32+Sevlievo!P32+Bqla!P32+Dunav_Ruse!P32+Silistra!P32+Tutrakan!P32+Seslav!P32+Karakuz!P32+Razgrad!P32+Voden!P32</f>
        <v>2</v>
      </c>
      <c r="Q32" s="161">
        <f>Bujnovci!Q32+Elena!Q32+Bolqrka!Q32+Gorna!Q32+Svishtov!Q32+Rosica!Q32+Gabrovo!Q32+Plachkovci!Q32+Sevlievo!Q32+Bqla!Q32+Dunav_Ruse!Q32+Silistra!Q32+Tutrakan!Q32+Seslav!Q32+Karakuz!Q32+Razgrad!Q32+Voden!Q32</f>
        <v>34</v>
      </c>
      <c r="R32" s="160" t="s">
        <v>27</v>
      </c>
      <c r="S32" s="163">
        <f>Bujnovci!S32+Elena!S32+Bolqrka!S32+Gorna!S32+Svishtov!S32+Rosica!S32+Gabrovo!S32+Plachkovci!S32+Sevlievo!S32+Bqla!S32+Dunav_Ruse!S32+Silistra!S32+Tutrakan!S32+Seslav!S32+Karakuz!S32+Razgrad!S32+Voden!S32</f>
        <v>232.18999999999997</v>
      </c>
      <c r="T32" s="161">
        <f>Bujnovci!T32+Elena!T32+Bolqrka!T32+Gorna!T32+Svishtov!T32+Rosica!T32+Gabrovo!T32+Plachkovci!T32+Sevlievo!T32+Bqla!T32+Dunav_Ruse!T32+Silistra!T32+Tutrakan!T32+Seslav!T32+Karakuz!T32+Razgrad!T32+Voden!T32</f>
        <v>55623.5</v>
      </c>
      <c r="U32" s="161">
        <f>Bujnovci!U32+Elena!U32+Bolqrka!U32+Gorna!U32+Svishtov!U32+Rosica!U32+Gabrovo!U32+Plachkovci!U32+Sevlievo!U32+Bqla!U32+Dunav_Ruse!U32+Silistra!U32+Tutrakan!U32+Seslav!U32+Karakuz!U32+Razgrad!U32+Voden!U32</f>
        <v>49552</v>
      </c>
      <c r="V32" s="161">
        <f>Bujnovci!V32+Elena!V32+Bolqrka!V32+Gorna!V32+Svishtov!V32+Rosica!V32+Gabrovo!V32+Plachkovci!V32+Sevlievo!V32+Bqla!V32+Dunav_Ruse!V32+Silistra!V32+Tutrakan!V32+Seslav!V32+Karakuz!V32+Razgrad!V32+Voden!V32</f>
        <v>33422</v>
      </c>
      <c r="W32" s="161">
        <f>Bujnovci!W32+Elena!W32+Bolqrka!W32+Gorna!W32+Svishtov!W32+Rosica!W32+Gabrovo!W32+Plachkovci!W32+Sevlievo!W32+Bqla!W32+Dunav_Ruse!W32+Silistra!W32+Tutrakan!W32+Seslav!W32+Karakuz!W32+Razgrad!W32+Voden!W32</f>
        <v>8779</v>
      </c>
      <c r="X32" s="161">
        <f>Bujnovci!X32+Elena!X32+Bolqrka!X32+Gorna!X32+Svishtov!X32+Rosica!X32+Gabrovo!X32+Plachkovci!X32+Sevlievo!X32+Bqla!X32+Dunav_Ruse!X32+Silistra!X32+Tutrakan!X32+Seslav!X32+Karakuz!X32+Razgrad!X32+Voden!X32</f>
        <v>1147</v>
      </c>
      <c r="Y32" s="161">
        <f>Bujnovci!Y32+Elena!Y32+Bolqrka!Y32+Gorna!Y32+Svishtov!Y32+Rosica!Y32+Gabrovo!Y32+Plachkovci!Y32+Sevlievo!Y32+Bqla!Y32+Dunav_Ruse!Y32+Silistra!Y32+Tutrakan!Y32+Seslav!Y32+Karakuz!Y32+Razgrad!Y32+Voden!Y32</f>
        <v>6200.5</v>
      </c>
      <c r="Z32" s="162"/>
      <c r="AA32" s="160" t="s">
        <v>27</v>
      </c>
      <c r="AB32" s="163">
        <f>Bujnovci!AB32+Elena!AB32+Bolqrka!AB32+Gorna!AB32+Svishtov!AB32+Rosica!AB32+Gabrovo!AB32+Plachkovci!AB32+Sevlievo!AB32+Bqla!AB32+Dunav_Ruse!AB32+Silistra!AB32+Tutrakan!AB32+Seslav!AB32+Karakuz!AB32+Razgrad!AB32+Voden!AB32</f>
        <v>228.04</v>
      </c>
      <c r="AC32" s="161">
        <f>Bujnovci!AC32+Elena!AC32+Bolqrka!AC32+Gorna!AC32+Svishtov!AC32+Rosica!AC32+Gabrovo!AC32+Plachkovci!AC32+Sevlievo!AC32+Bqla!AC32+Dunav_Ruse!AC32+Silistra!AC32+Tutrakan!AC32+Seslav!AC32+Karakuz!AC32+Razgrad!AC32+Voden!AC32</f>
        <v>55546.5</v>
      </c>
      <c r="AD32" s="161">
        <f>Bujnovci!AD32+Elena!AD32+Bolqrka!AD32+Gorna!AD32+Svishtov!AD32+Rosica!AD32+Gabrovo!AD32+Plachkovci!AD32+Sevlievo!AD32+Bqla!AD32+Dunav_Ruse!AD32+Silistra!AD32+Tutrakan!AD32+Seslav!AD32+Karakuz!AD32+Razgrad!AD32+Voden!AD32</f>
        <v>49481.5</v>
      </c>
      <c r="AE32" s="161">
        <f>Bujnovci!AE32+Elena!AE32+Bolqrka!AE32+Gorna!AE32+Svishtov!AE32+Rosica!AE32+Gabrovo!AE32+Plachkovci!AE32+Sevlievo!AE32+Bqla!AE32+Dunav_Ruse!AE32+Silistra!AE32+Tutrakan!AE32+Seslav!AE32+Karakuz!AE32+Razgrad!AE32+Voden!AE32</f>
        <v>33386</v>
      </c>
      <c r="AF32" s="161">
        <f>Bujnovci!AF32+Elena!AF32+Bolqrka!AF32+Gorna!AF32+Svishtov!AF32+Rosica!AF32+Gabrovo!AF32+Plachkovci!AF32+Sevlievo!AF32+Bqla!AF32+Dunav_Ruse!AF32+Silistra!AF32+Tutrakan!AF32+Seslav!AF32+Karakuz!AF32+Razgrad!AF32+Voden!AF32</f>
        <v>8767.5</v>
      </c>
      <c r="AG32" s="161">
        <f>Bujnovci!AG32+Elena!AG32+Bolqrka!AG32+Gorna!AG32+Svishtov!AG32+Rosica!AG32+Gabrovo!AG32+Plachkovci!AG32+Sevlievo!AG32+Bqla!AG32+Dunav_Ruse!AG32+Silistra!AG32+Tutrakan!AG32+Seslav!AG32+Karakuz!AG32+Razgrad!AG32+Voden!AG32</f>
        <v>1144.5</v>
      </c>
      <c r="AH32" s="161">
        <f>Bujnovci!AH32+Elena!AH32+Bolqrka!AH32+Gorna!AH32+Svishtov!AH32+Rosica!AH32+Gabrovo!AH32+Plachkovci!AH32+Sevlievo!AH32+Bqla!AH32+Dunav_Ruse!AH32+Silistra!AH32+Tutrakan!AH32+Seslav!AH32+Karakuz!AH32+Razgrad!AH32+Voden!AH32</f>
        <v>6181</v>
      </c>
      <c r="AI32" s="166"/>
      <c r="AJ32" s="161" t="s">
        <v>27</v>
      </c>
      <c r="AK32" s="163">
        <f>Bujnovci!AK32+Elena!AK32+Bolqrka!AK32+Gorna!AK32+Svishtov!AK32+Rosica!AK32+Gabrovo!AK32+Plachkovci!AK32+Sevlievo!AK32+Bqla!AK32+Dunav_Ruse!AK32+Silistra!AK32+Tutrakan!AK32+Seslav!AK32+Karakuz!AK32+Razgrad!AK32+Voden!AK32</f>
        <v>2.1</v>
      </c>
      <c r="AL32" s="161">
        <f>Bujnovci!AL32+Elena!AL32+Bolqrka!AL32+Gorna!AL32+Svishtov!AL32+Rosica!AL32+Gabrovo!AL32+Plachkovci!AL32+Sevlievo!AL32+Bqla!AL32+Dunav_Ruse!AL32+Silistra!AL32+Tutrakan!AL32+Seslav!AL32+Karakuz!AL32+Razgrad!AL32+Voden!AL32</f>
        <v>153</v>
      </c>
      <c r="AM32" s="161">
        <f>Bujnovci!AM32+Elena!AM32+Bolqrka!AM32+Gorna!AM32+Svishtov!AM32+Rosica!AM32+Gabrovo!AM32+Plachkovci!AM32+Sevlievo!AM32+Bqla!AM32+Dunav_Ruse!AM32+Silistra!AM32+Tutrakan!AM32+Seslav!AM32+Karakuz!AM32+Razgrad!AM32+Voden!AM32</f>
        <v>139</v>
      </c>
      <c r="AN32" s="161">
        <f>Bujnovci!AN32+Elena!AN32+Bolqrka!AN32+Gorna!AN32+Svishtov!AN32+Rosica!AN32+Gabrovo!AN32+Plachkovci!AN32+Sevlievo!AN32+Bqla!AN32+Dunav_Ruse!AN32+Silistra!AN32+Tutrakan!AN32+Seslav!AN32+Karakuz!AN32+Razgrad!AN32+Voden!AN32</f>
        <v>70</v>
      </c>
      <c r="AO32" s="161">
        <f>Bujnovci!AO32+Elena!AO32+Bolqrka!AO32+Gorna!AO32+Svishtov!AO32+Rosica!AO32+Gabrovo!AO32+Plachkovci!AO32+Sevlievo!AO32+Bqla!AO32+Dunav_Ruse!AO32+Silistra!AO32+Tutrakan!AO32+Seslav!AO32+Karakuz!AO32+Razgrad!AO32+Voden!AO32</f>
        <v>29</v>
      </c>
      <c r="AP32" s="161">
        <f>Bujnovci!AP32+Elena!AP32+Bolqrka!AP32+Gorna!AP32+Svishtov!AP32+Rosica!AP32+Gabrovo!AP32+Plachkovci!AP32+Sevlievo!AP32+Bqla!AP32+Dunav_Ruse!AP32+Silistra!AP32+Tutrakan!AP32+Seslav!AP32+Karakuz!AP32+Razgrad!AP32+Voden!AP32</f>
        <v>9</v>
      </c>
      <c r="AQ32" s="161">
        <f>Bujnovci!AQ32+Elena!AQ32+Bolqrka!AQ32+Gorna!AQ32+Svishtov!AQ32+Rosica!AQ32+Gabrovo!AQ32+Plachkovci!AQ32+Sevlievo!AQ32+Bqla!AQ32+Dunav_Ruse!AQ32+Silistra!AQ32+Tutrakan!AQ32+Seslav!AQ32+Karakuz!AQ32+Razgrad!AQ32+Voden!AQ32</f>
        <v>31</v>
      </c>
      <c r="AR32" s="162"/>
      <c r="AS32" s="162"/>
    </row>
    <row r="33" spans="1:46" ht="12">
      <c r="A33" s="160" t="s">
        <v>28</v>
      </c>
      <c r="B33" s="163">
        <f>Bujnovci!B33+Elena!B33+Bolqrka!B33+Gorna!B33+Svishtov!B33+Rosica!B33+Gabrovo!B33+Plachkovci!B33+Sevlievo!B33+Bqla!B33+Dunav_Ruse!B33+Silistra!B33+Tutrakan!B33+Seslav!B33+Karakuz!B33+Razgrad!B33+Voden!B33</f>
        <v>126.30000000000001</v>
      </c>
      <c r="C33" s="161">
        <f>Bujnovci!C33+Elena!C33+Bolqrka!C33+Gorna!C33+Svishtov!C33+Rosica!C33+Gabrovo!C33+Plachkovci!C33+Sevlievo!C33+Bqla!C33+Dunav_Ruse!C33+Silistra!C33+Tutrakan!C33+Seslav!C33+Karakuz!C33+Razgrad!C33+Voden!C33</f>
        <v>31673</v>
      </c>
      <c r="D33" s="161">
        <f>Bujnovci!D33+Elena!D33+Bolqrka!D33+Gorna!D33+Svishtov!D33+Rosica!D33+Gabrovo!D33+Plachkovci!D33+Sevlievo!D33+Bqla!D33+Dunav_Ruse!D33+Silistra!D33+Tutrakan!D33+Seslav!D33+Karakuz!D33+Razgrad!D33+Voden!D33</f>
        <v>30836</v>
      </c>
      <c r="E33" s="161">
        <f>Bujnovci!E33+Elena!E33+Bolqrka!E33+Gorna!E33+Svishtov!E33+Rosica!E33+Gabrovo!E33+Plachkovci!E33+Sevlievo!E33+Bqla!E33+Dunav_Ruse!E33+Silistra!E33+Tutrakan!E33+Seslav!E33+Karakuz!E33+Razgrad!E33+Voden!E33</f>
        <v>22643</v>
      </c>
      <c r="F33" s="161">
        <f>Bujnovci!F33+Elena!F33+Bolqrka!F33+Gorna!F33+Svishtov!F33+Rosica!F33+Gabrovo!F33+Plachkovci!F33+Sevlievo!F33+Bqla!F33+Dunav_Ruse!F33+Silistra!F33+Tutrakan!F33+Seslav!F33+Karakuz!F33+Razgrad!F33+Voden!F33</f>
        <v>4333</v>
      </c>
      <c r="G33" s="161">
        <f>Bujnovci!G33+Elena!G33+Bolqrka!G33+Gorna!G33+Svishtov!G33+Rosica!G33+Gabrovo!G33+Plachkovci!G33+Sevlievo!G33+Bqla!G33+Dunav_Ruse!G33+Silistra!G33+Tutrakan!G33+Seslav!G33+Karakuz!G33+Razgrad!G33+Voden!G33</f>
        <v>748</v>
      </c>
      <c r="H33" s="161">
        <f>Bujnovci!H33+Elena!H33+Bolqrka!H33+Gorna!H33+Svishtov!H33+Rosica!H33+Gabrovo!H33+Plachkovci!H33+Sevlievo!H33+Bqla!H33+Dunav_Ruse!H33+Silistra!H33+Tutrakan!H33+Seslav!H33+Karakuz!H33+Razgrad!H33+Voden!H33</f>
        <v>3112</v>
      </c>
      <c r="I33" s="162"/>
      <c r="J33" s="160" t="s">
        <v>28</v>
      </c>
      <c r="K33" s="163">
        <f>Bujnovci!K33+Elena!K33+Bolqrka!K33+Gorna!K33+Svishtov!K33+Rosica!K33+Gabrovo!K33+Plachkovci!K33+Sevlievo!K33+Bqla!K33+Dunav_Ruse!K33+Silistra!K33+Tutrakan!K33+Seslav!K33+Karakuz!K33+Razgrad!K33+Voden!K33</f>
        <v>0</v>
      </c>
      <c r="L33" s="161">
        <f>Bujnovci!L33+Elena!L33+Bolqrka!L33+Gorna!L33+Svishtov!L33+Rosica!L33+Gabrovo!L33+Plachkovci!L33+Sevlievo!L33+Bqla!L33+Dunav_Ruse!L33+Silistra!L33+Tutrakan!L33+Seslav!L33+Karakuz!L33+Razgrad!L33+Voden!L33</f>
        <v>4</v>
      </c>
      <c r="M33" s="161">
        <f>Bujnovci!M33+Elena!M33+Bolqrka!M33+Gorna!M33+Svishtov!M33+Rosica!M33+Gabrovo!M33+Plachkovci!M33+Sevlievo!M33+Bqla!M33+Dunav_Ruse!M33+Silistra!M33+Tutrakan!M33+Seslav!M33+Karakuz!M33+Razgrad!M33+Voden!M33</f>
        <v>4</v>
      </c>
      <c r="N33" s="161">
        <f>Bujnovci!N33+Elena!N33+Bolqrka!N33+Gorna!N33+Svishtov!N33+Rosica!N33+Gabrovo!N33+Plachkovci!N33+Sevlievo!N33+Bqla!N33+Dunav_Ruse!N33+Silistra!N33+Tutrakan!N33+Seslav!N33+Karakuz!N33+Razgrad!N33+Voden!N33</f>
        <v>0</v>
      </c>
      <c r="O33" s="161">
        <f>Bujnovci!O33+Elena!O33+Bolqrka!O33+Gorna!O33+Svishtov!O33+Rosica!O33+Gabrovo!O33+Plachkovci!O33+Sevlievo!O33+Bqla!O33+Dunav_Ruse!O33+Silistra!O33+Tutrakan!O33+Seslav!O33+Karakuz!O33+Razgrad!O33+Voden!O33</f>
        <v>0</v>
      </c>
      <c r="P33" s="161">
        <f>Bujnovci!P33+Elena!P33+Bolqrka!P33+Gorna!P33+Svishtov!P33+Rosica!P33+Gabrovo!P33+Plachkovci!P33+Sevlievo!P33+Bqla!P33+Dunav_Ruse!P33+Silistra!P33+Tutrakan!P33+Seslav!P33+Karakuz!P33+Razgrad!P33+Voden!P33</f>
        <v>0</v>
      </c>
      <c r="Q33" s="161">
        <f>Bujnovci!Q33+Elena!Q33+Bolqrka!Q33+Gorna!Q33+Svishtov!Q33+Rosica!Q33+Gabrovo!Q33+Plachkovci!Q33+Sevlievo!Q33+Bqla!Q33+Dunav_Ruse!Q33+Silistra!Q33+Tutrakan!Q33+Seslav!Q33+Karakuz!Q33+Razgrad!Q33+Voden!Q33</f>
        <v>4</v>
      </c>
      <c r="R33" s="160" t="s">
        <v>28</v>
      </c>
      <c r="S33" s="163">
        <f>Bujnovci!S33+Elena!S33+Bolqrka!S33+Gorna!S33+Svishtov!S33+Rosica!S33+Gabrovo!S33+Plachkovci!S33+Sevlievo!S33+Bqla!S33+Dunav_Ruse!S33+Silistra!S33+Tutrakan!S33+Seslav!S33+Karakuz!S33+Razgrad!S33+Voden!S33</f>
        <v>126.30000000000001</v>
      </c>
      <c r="T33" s="161">
        <f>Bujnovci!T33+Elena!T33+Bolqrka!T33+Gorna!T33+Svishtov!T33+Rosica!T33+Gabrovo!T33+Plachkovci!T33+Sevlievo!T33+Bqla!T33+Dunav_Ruse!T33+Silistra!T33+Tutrakan!T33+Seslav!T33+Karakuz!T33+Razgrad!T33+Voden!T33</f>
        <v>31669</v>
      </c>
      <c r="U33" s="161">
        <f>Bujnovci!U33+Elena!U33+Bolqrka!U33+Gorna!U33+Svishtov!U33+Rosica!U33+Gabrovo!U33+Plachkovci!U33+Sevlievo!U33+Bqla!U33+Dunav_Ruse!U33+Silistra!U33+Tutrakan!U33+Seslav!U33+Karakuz!U33+Razgrad!U33+Voden!U33</f>
        <v>30832</v>
      </c>
      <c r="V33" s="161">
        <f>Bujnovci!V33+Elena!V33+Bolqrka!V33+Gorna!V33+Svishtov!V33+Rosica!V33+Gabrovo!V33+Plachkovci!V33+Sevlievo!V33+Bqla!V33+Dunav_Ruse!V33+Silistra!V33+Tutrakan!V33+Seslav!V33+Karakuz!V33+Razgrad!V33+Voden!V33</f>
        <v>22643</v>
      </c>
      <c r="W33" s="161">
        <f>Bujnovci!W33+Elena!W33+Bolqrka!W33+Gorna!W33+Svishtov!W33+Rosica!W33+Gabrovo!W33+Plachkovci!W33+Sevlievo!W33+Bqla!W33+Dunav_Ruse!W33+Silistra!W33+Tutrakan!W33+Seslav!W33+Karakuz!W33+Razgrad!W33+Voden!W33</f>
        <v>4333</v>
      </c>
      <c r="X33" s="161">
        <f>Bujnovci!X33+Elena!X33+Bolqrka!X33+Gorna!X33+Svishtov!X33+Rosica!X33+Gabrovo!X33+Plachkovci!X33+Sevlievo!X33+Bqla!X33+Dunav_Ruse!X33+Silistra!X33+Tutrakan!X33+Seslav!X33+Karakuz!X33+Razgrad!X33+Voden!X33</f>
        <v>748</v>
      </c>
      <c r="Y33" s="161">
        <f>Bujnovci!Y33+Elena!Y33+Bolqrka!Y33+Gorna!Y33+Svishtov!Y33+Rosica!Y33+Gabrovo!Y33+Plachkovci!Y33+Sevlievo!Y33+Bqla!Y33+Dunav_Ruse!Y33+Silistra!Y33+Tutrakan!Y33+Seslav!Y33+Karakuz!Y33+Razgrad!Y33+Voden!Y33</f>
        <v>3108</v>
      </c>
      <c r="Z33" s="162"/>
      <c r="AA33" s="160" t="s">
        <v>28</v>
      </c>
      <c r="AB33" s="163">
        <f>Bujnovci!AB33+Elena!AB33+Bolqrka!AB33+Gorna!AB33+Svishtov!AB33+Rosica!AB33+Gabrovo!AB33+Plachkovci!AB33+Sevlievo!AB33+Bqla!AB33+Dunav_Ruse!AB33+Silistra!AB33+Tutrakan!AB33+Seslav!AB33+Karakuz!AB33+Razgrad!AB33+Voden!AB33</f>
        <v>119.20000000000002</v>
      </c>
      <c r="AC33" s="161">
        <f>Bujnovci!AC33+Elena!AC33+Bolqrka!AC33+Gorna!AC33+Svishtov!AC33+Rosica!AC33+Gabrovo!AC33+Plachkovci!AC33+Sevlievo!AC33+Bqla!AC33+Dunav_Ruse!AC33+Silistra!AC33+Tutrakan!AC33+Seslav!AC33+Karakuz!AC33+Razgrad!AC33+Voden!AC33</f>
        <v>31351</v>
      </c>
      <c r="AD33" s="161">
        <f>Bujnovci!AD33+Elena!AD33+Bolqrka!AD33+Gorna!AD33+Svishtov!AD33+Rosica!AD33+Gabrovo!AD33+Plachkovci!AD33+Sevlievo!AD33+Bqla!AD33+Dunav_Ruse!AD33+Silistra!AD33+Tutrakan!AD33+Seslav!AD33+Karakuz!AD33+Razgrad!AD33+Voden!AD33</f>
        <v>30546</v>
      </c>
      <c r="AE33" s="161">
        <f>Bujnovci!AE33+Elena!AE33+Bolqrka!AE33+Gorna!AE33+Svishtov!AE33+Rosica!AE33+Gabrovo!AE33+Plachkovci!AE33+Sevlievo!AE33+Bqla!AE33+Dunav_Ruse!AE33+Silistra!AE33+Tutrakan!AE33+Seslav!AE33+Karakuz!AE33+Razgrad!AE33+Voden!AE33</f>
        <v>22441</v>
      </c>
      <c r="AF33" s="161">
        <f>Bujnovci!AF33+Elena!AF33+Bolqrka!AF33+Gorna!AF33+Svishtov!AF33+Rosica!AF33+Gabrovo!AF33+Plachkovci!AF33+Sevlievo!AF33+Bqla!AF33+Dunav_Ruse!AF33+Silistra!AF33+Tutrakan!AF33+Seslav!AF33+Karakuz!AF33+Razgrad!AF33+Voden!AF33</f>
        <v>4328</v>
      </c>
      <c r="AG33" s="161">
        <f>Bujnovci!AG33+Elena!AG33+Bolqrka!AG33+Gorna!AG33+Svishtov!AG33+Rosica!AG33+Gabrovo!AG33+Plachkovci!AG33+Sevlievo!AG33+Bqla!AG33+Dunav_Ruse!AG33+Silistra!AG33+Tutrakan!AG33+Seslav!AG33+Karakuz!AG33+Razgrad!AG33+Voden!AG33</f>
        <v>748</v>
      </c>
      <c r="AH33" s="161">
        <f>Bujnovci!AH33+Elena!AH33+Bolqrka!AH33+Gorna!AH33+Svishtov!AH33+Rosica!AH33+Gabrovo!AH33+Plachkovci!AH33+Sevlievo!AH33+Bqla!AH33+Dunav_Ruse!AH33+Silistra!AH33+Tutrakan!AH33+Seslav!AH33+Karakuz!AH33+Razgrad!AH33+Voden!AH33</f>
        <v>3029</v>
      </c>
      <c r="AI33" s="166"/>
      <c r="AJ33" s="161" t="s">
        <v>28</v>
      </c>
      <c r="AK33" s="163">
        <f>Bujnovci!AK33+Elena!AK33+Bolqrka!AK33+Gorna!AK33+Svishtov!AK33+Rosica!AK33+Gabrovo!AK33+Plachkovci!AK33+Sevlievo!AK33+Bqla!AK33+Dunav_Ruse!AK33+Silistra!AK33+Tutrakan!AK33+Seslav!AK33+Karakuz!AK33+Razgrad!AK33+Voden!AK33</f>
        <v>0</v>
      </c>
      <c r="AL33" s="161">
        <f>Bujnovci!AL33+Elena!AL33+Bolqrka!AL33+Gorna!AL33+Svishtov!AL33+Rosica!AL33+Gabrovo!AL33+Plachkovci!AL33+Sevlievo!AL33+Bqla!AL33+Dunav_Ruse!AL33+Silistra!AL33+Tutrakan!AL33+Seslav!AL33+Karakuz!AL33+Razgrad!AL33+Voden!AL33</f>
        <v>0</v>
      </c>
      <c r="AM33" s="161">
        <f>Bujnovci!AM33+Elena!AM33+Bolqrka!AM33+Gorna!AM33+Svishtov!AM33+Rosica!AM33+Gabrovo!AM33+Plachkovci!AM33+Sevlievo!AM33+Bqla!AM33+Dunav_Ruse!AM33+Silistra!AM33+Tutrakan!AM33+Seslav!AM33+Karakuz!AM33+Razgrad!AM33+Voden!AM33</f>
        <v>0</v>
      </c>
      <c r="AN33" s="161">
        <f>Bujnovci!AN33+Elena!AN33+Bolqrka!AN33+Gorna!AN33+Svishtov!AN33+Rosica!AN33+Gabrovo!AN33+Plachkovci!AN33+Sevlievo!AN33+Bqla!AN33+Dunav_Ruse!AN33+Silistra!AN33+Tutrakan!AN33+Seslav!AN33+Karakuz!AN33+Razgrad!AN33+Voden!AN33</f>
        <v>0</v>
      </c>
      <c r="AO33" s="161">
        <f>Bujnovci!AO33+Elena!AO33+Bolqrka!AO33+Gorna!AO33+Svishtov!AO33+Rosica!AO33+Gabrovo!AO33+Plachkovci!AO33+Sevlievo!AO33+Bqla!AO33+Dunav_Ruse!AO33+Silistra!AO33+Tutrakan!AO33+Seslav!AO33+Karakuz!AO33+Razgrad!AO33+Voden!AO33</f>
        <v>0</v>
      </c>
      <c r="AP33" s="161">
        <f>Bujnovci!AP33+Elena!AP33+Bolqrka!AP33+Gorna!AP33+Svishtov!AP33+Rosica!AP33+Gabrovo!AP33+Plachkovci!AP33+Sevlievo!AP33+Bqla!AP33+Dunav_Ruse!AP33+Silistra!AP33+Tutrakan!AP33+Seslav!AP33+Karakuz!AP33+Razgrad!AP33+Voden!AP33</f>
        <v>0</v>
      </c>
      <c r="AQ33" s="161">
        <f>Bujnovci!AQ33+Elena!AQ33+Bolqrka!AQ33+Gorna!AQ33+Svishtov!AQ33+Rosica!AQ33+Gabrovo!AQ33+Plachkovci!AQ33+Sevlievo!AQ33+Bqla!AQ33+Dunav_Ruse!AQ33+Silistra!AQ33+Tutrakan!AQ33+Seslav!AQ33+Karakuz!AQ33+Razgrad!AQ33+Voden!AQ33</f>
        <v>0</v>
      </c>
      <c r="AR33" s="162"/>
      <c r="AS33" s="162"/>
    </row>
    <row r="34" spans="1:46" ht="12">
      <c r="A34" s="160" t="s">
        <v>12</v>
      </c>
      <c r="B34" s="161">
        <f t="shared" ref="B34:H34" si="30">B33/B32*100</f>
        <v>53.378978065170536</v>
      </c>
      <c r="C34" s="161">
        <f t="shared" si="30"/>
        <v>56.699665240507692</v>
      </c>
      <c r="D34" s="161">
        <f t="shared" si="30"/>
        <v>61.962604615647386</v>
      </c>
      <c r="E34" s="161">
        <f t="shared" si="30"/>
        <v>67.549708387404735</v>
      </c>
      <c r="F34" s="161">
        <f t="shared" si="30"/>
        <v>49.1381265593105</v>
      </c>
      <c r="G34" s="161">
        <f t="shared" si="30"/>
        <v>64.594127806563037</v>
      </c>
      <c r="H34" s="161">
        <f t="shared" si="30"/>
        <v>49.668821323118664</v>
      </c>
      <c r="I34" s="162"/>
      <c r="J34" s="160" t="s">
        <v>12</v>
      </c>
      <c r="K34" s="161">
        <f t="shared" ref="K34:Q34" si="31">K33/K32*100</f>
        <v>0</v>
      </c>
      <c r="L34" s="161">
        <f t="shared" si="31"/>
        <v>4.7337278106508878</v>
      </c>
      <c r="M34" s="161">
        <f t="shared" si="31"/>
        <v>5.3691275167785237</v>
      </c>
      <c r="N34" s="161">
        <f t="shared" si="31"/>
        <v>0</v>
      </c>
      <c r="O34" s="161">
        <f t="shared" si="31"/>
        <v>0</v>
      </c>
      <c r="P34" s="161">
        <f t="shared" si="31"/>
        <v>0</v>
      </c>
      <c r="Q34" s="161">
        <f t="shared" si="31"/>
        <v>11.76470588235294</v>
      </c>
      <c r="R34" s="160" t="s">
        <v>12</v>
      </c>
      <c r="S34" s="161">
        <f t="shared" ref="S34:Y34" si="32">S33/S32*100</f>
        <v>54.395107455101432</v>
      </c>
      <c r="T34" s="161">
        <f t="shared" si="32"/>
        <v>56.934569022085988</v>
      </c>
      <c r="U34" s="161">
        <f t="shared" si="32"/>
        <v>62.221504681950279</v>
      </c>
      <c r="V34" s="161">
        <f t="shared" si="32"/>
        <v>67.748788223325946</v>
      </c>
      <c r="W34" s="161">
        <f t="shared" si="32"/>
        <v>49.356418726506433</v>
      </c>
      <c r="X34" s="161">
        <f t="shared" si="32"/>
        <v>65.213600697471662</v>
      </c>
      <c r="Y34" s="161">
        <f t="shared" si="32"/>
        <v>50.124989920167728</v>
      </c>
      <c r="Z34" s="162"/>
      <c r="AA34" s="160" t="s">
        <v>12</v>
      </c>
      <c r="AB34" s="161">
        <f t="shared" ref="AB34:AH34" si="33">AB33/AB32*100</f>
        <v>52.271531310296446</v>
      </c>
      <c r="AC34" s="161">
        <f t="shared" si="33"/>
        <v>56.440999882980925</v>
      </c>
      <c r="AD34" s="161">
        <f t="shared" si="33"/>
        <v>61.732162525388276</v>
      </c>
      <c r="AE34" s="161">
        <f t="shared" si="33"/>
        <v>67.216797460013183</v>
      </c>
      <c r="AF34" s="161">
        <f t="shared" si="33"/>
        <v>49.36412888508697</v>
      </c>
      <c r="AG34" s="161">
        <f t="shared" si="33"/>
        <v>65.356050677151586</v>
      </c>
      <c r="AH34" s="161">
        <f t="shared" si="33"/>
        <v>49.005015369681281</v>
      </c>
      <c r="AI34" s="169"/>
      <c r="AJ34" s="200" t="s">
        <v>12</v>
      </c>
      <c r="AK34" s="161">
        <f t="shared" ref="AK34:AQ34" si="34">AK33/AK32*100</f>
        <v>0</v>
      </c>
      <c r="AL34" s="161">
        <f t="shared" si="34"/>
        <v>0</v>
      </c>
      <c r="AM34" s="161">
        <f t="shared" si="34"/>
        <v>0</v>
      </c>
      <c r="AN34" s="161">
        <f t="shared" si="34"/>
        <v>0</v>
      </c>
      <c r="AO34" s="161">
        <f t="shared" si="34"/>
        <v>0</v>
      </c>
      <c r="AP34" s="161">
        <f t="shared" si="34"/>
        <v>0</v>
      </c>
      <c r="AQ34" s="161">
        <f t="shared" si="34"/>
        <v>0</v>
      </c>
      <c r="AR34" s="162"/>
      <c r="AS34" s="162"/>
    </row>
    <row r="35" spans="1:46" ht="12">
      <c r="A35" s="160" t="s">
        <v>29</v>
      </c>
      <c r="B35" s="163">
        <f>Bujnovci!B35+Elena!B35+Bolqrka!B35+Gorna!B35+Svishtov!B35+Rosica!B35+Gabrovo!B35+Plachkovci!B35+Sevlievo!B35+Bqla!B35+Dunav_Ruse!B35+Silistra!B35+Tutrakan!B35+Seslav!B35+Karakuz!B35+Razgrad!B35+Voden!B35</f>
        <v>1750.8799999999997</v>
      </c>
      <c r="C35" s="161">
        <f>Bujnovci!C35+Elena!C35+Bolqrka!C35+Gorna!C35+Svishtov!C35+Rosica!C35+Gabrovo!C35+Plachkovci!C35+Sevlievo!C35+Bqla!C35+Dunav_Ruse!C35+Silistra!C35+Tutrakan!C35+Seslav!C35+Karakuz!C35+Razgrad!C35+Voden!C35</f>
        <v>143582.5</v>
      </c>
      <c r="D35" s="161">
        <f>Bujnovci!D35+Elena!D35+Bolqrka!D35+Gorna!D35+Svishtov!D35+Rosica!D35+Gabrovo!D35+Plachkovci!D35+Sevlievo!D35+Bqla!D35+Dunav_Ruse!D35+Silistra!D35+Tutrakan!D35+Seslav!D35+Karakuz!D35+Razgrad!D35+Voden!D35</f>
        <v>124405.5</v>
      </c>
      <c r="E35" s="161">
        <f>Bujnovci!E35+Elena!E35+Bolqrka!E35+Gorna!E35+Svishtov!E35+Rosica!E35+Gabrovo!E35+Plachkovci!E35+Sevlievo!E35+Bqla!E35+Dunav_Ruse!E35+Silistra!E35+Tutrakan!E35+Seslav!E35+Karakuz!E35+Razgrad!E35+Voden!E35</f>
        <v>5766</v>
      </c>
      <c r="F35" s="161">
        <f>Bujnovci!F35+Elena!F35+Bolqrka!F35+Gorna!F35+Svishtov!F35+Rosica!F35+Gabrovo!F35+Plachkovci!F35+Sevlievo!F35+Bqla!F35+Dunav_Ruse!F35+Silistra!F35+Tutrakan!F35+Seslav!F35+Karakuz!F35+Razgrad!F35+Voden!F35</f>
        <v>35906.5</v>
      </c>
      <c r="G35" s="161">
        <f>Bujnovci!G35+Elena!G35+Bolqrka!G35+Gorna!G35+Svishtov!G35+Rosica!G35+Gabrovo!G35+Plachkovci!G35+Sevlievo!G35+Bqla!G35+Dunav_Ruse!G35+Silistra!G35+Tutrakan!G35+Seslav!G35+Karakuz!G35+Razgrad!G35+Voden!G35</f>
        <v>10416</v>
      </c>
      <c r="H35" s="161">
        <f>Bujnovci!H35+Elena!H35+Bolqrka!H35+Gorna!H35+Svishtov!H35+Rosica!H35+Gabrovo!H35+Plachkovci!H35+Sevlievo!H35+Bqla!H35+Dunav_Ruse!H35+Silistra!H35+Tutrakan!H35+Seslav!H35+Karakuz!H35+Razgrad!H35+Voden!H35</f>
        <v>72196</v>
      </c>
      <c r="I35" s="162"/>
      <c r="J35" s="160" t="s">
        <v>29</v>
      </c>
      <c r="K35" s="163">
        <f>Bujnovci!K35+Elena!K35+Bolqrka!K35+Gorna!K35+Svishtov!K35+Rosica!K35+Gabrovo!K35+Plachkovci!K35+Sevlievo!K35+Bqla!K35+Dunav_Ruse!K35+Silistra!K35+Tutrakan!K35+Seslav!K35+Karakuz!K35+Razgrad!K35+Voden!K35</f>
        <v>14.269999999999998</v>
      </c>
      <c r="L35" s="161">
        <f>Bujnovci!L35+Elena!L35+Bolqrka!L35+Gorna!L35+Svishtov!L35+Rosica!L35+Gabrovo!L35+Plachkovci!L35+Sevlievo!L35+Bqla!L35+Dunav_Ruse!L35+Silistra!L35+Tutrakan!L35+Seslav!L35+Karakuz!L35+Razgrad!L35+Voden!L35</f>
        <v>1031</v>
      </c>
      <c r="M35" s="161">
        <f>Bujnovci!M35+Elena!M35+Bolqrka!M35+Gorna!M35+Svishtov!M35+Rosica!M35+Gabrovo!M35+Plachkovci!M35+Sevlievo!M35+Bqla!M35+Dunav_Ruse!M35+Silistra!M35+Tutrakan!M35+Seslav!M35+Karakuz!M35+Razgrad!M35+Voden!M35</f>
        <v>881</v>
      </c>
      <c r="N35" s="161">
        <f>Bujnovci!N35+Elena!N35+Bolqrka!N35+Gorna!N35+Svishtov!N35+Rosica!N35+Gabrovo!N35+Plachkovci!N35+Sevlievo!N35+Bqla!N35+Dunav_Ruse!N35+Silistra!N35+Tutrakan!N35+Seslav!N35+Karakuz!N35+Razgrad!N35+Voden!N35</f>
        <v>8</v>
      </c>
      <c r="O35" s="161">
        <f>Bujnovci!O35+Elena!O35+Bolqrka!O35+Gorna!O35+Svishtov!O35+Rosica!O35+Gabrovo!O35+Plachkovci!O35+Sevlievo!O35+Bqla!O35+Dunav_Ruse!O35+Silistra!O35+Tutrakan!O35+Seslav!O35+Karakuz!O35+Razgrad!O35+Voden!O35</f>
        <v>156</v>
      </c>
      <c r="P35" s="161">
        <f>Bujnovci!P35+Elena!P35+Bolqrka!P35+Gorna!P35+Svishtov!P35+Rosica!P35+Gabrovo!P35+Plachkovci!P35+Sevlievo!P35+Bqla!P35+Dunav_Ruse!P35+Silistra!P35+Tutrakan!P35+Seslav!P35+Karakuz!P35+Razgrad!P35+Voden!P35</f>
        <v>110</v>
      </c>
      <c r="Q35" s="161">
        <f>Bujnovci!Q35+Elena!Q35+Bolqrka!Q35+Gorna!Q35+Svishtov!Q35+Rosica!Q35+Gabrovo!Q35+Plachkovci!Q35+Sevlievo!Q35+Bqla!Q35+Dunav_Ruse!Q35+Silistra!Q35+Tutrakan!Q35+Seslav!Q35+Karakuz!Q35+Razgrad!Q35+Voden!Q35</f>
        <v>601</v>
      </c>
      <c r="R35" s="160" t="s">
        <v>29</v>
      </c>
      <c r="S35" s="163">
        <f>Bujnovci!S35+Elena!S35+Bolqrka!S35+Gorna!S35+Svishtov!S35+Rosica!S35+Gabrovo!S35+Plachkovci!S35+Sevlievo!S35+Bqla!S35+Dunav_Ruse!S35+Silistra!S35+Tutrakan!S35+Seslav!S35+Karakuz!S35+Razgrad!S35+Voden!S35</f>
        <v>1731.1100000000004</v>
      </c>
      <c r="T35" s="161">
        <f>Bujnovci!T35+Elena!T35+Bolqrka!T35+Gorna!T35+Svishtov!T35+Rosica!T35+Gabrovo!T35+Plachkovci!T35+Sevlievo!T35+Bqla!T35+Dunav_Ruse!T35+Silistra!T35+Tutrakan!T35+Seslav!T35+Karakuz!T35+Razgrad!T35+Voden!T35</f>
        <v>142286.5</v>
      </c>
      <c r="U35" s="161">
        <f>Bujnovci!U35+Elena!U35+Bolqrka!U35+Gorna!U35+Svishtov!U35+Rosica!U35+Gabrovo!U35+Plachkovci!U35+Sevlievo!U35+Bqla!U35+Dunav_Ruse!U35+Silistra!U35+Tutrakan!U35+Seslav!U35+Karakuz!U35+Razgrad!U35+Voden!U35</f>
        <v>123298.5</v>
      </c>
      <c r="V35" s="161">
        <f>Bujnovci!V35+Elena!V35+Bolqrka!V35+Gorna!V35+Svishtov!V35+Rosica!V35+Gabrovo!V35+Plachkovci!V35+Sevlievo!V35+Bqla!V35+Dunav_Ruse!V35+Silistra!V35+Tutrakan!V35+Seslav!V35+Karakuz!V35+Razgrad!V35+Voden!V35</f>
        <v>5755</v>
      </c>
      <c r="W35" s="161">
        <f>Bujnovci!W35+Elena!W35+Bolqrka!W35+Gorna!W35+Svishtov!W35+Rosica!W35+Gabrovo!W35+Plachkovci!W35+Sevlievo!W35+Bqla!W35+Dunav_Ruse!W35+Silistra!W35+Tutrakan!W35+Seslav!W35+Karakuz!W35+Razgrad!W35+Voden!W35</f>
        <v>35715.5</v>
      </c>
      <c r="X35" s="161">
        <f>Bujnovci!X35+Elena!X35+Bolqrka!X35+Gorna!X35+Svishtov!X35+Rosica!X35+Gabrovo!X35+Plachkovci!X35+Sevlievo!X35+Bqla!X35+Dunav_Ruse!X35+Silistra!X35+Tutrakan!X35+Seslav!X35+Karakuz!X35+Razgrad!X35+Voden!X35</f>
        <v>10279</v>
      </c>
      <c r="Y35" s="161">
        <f>Bujnovci!Y35+Elena!Y35+Bolqrka!Y35+Gorna!Y35+Svishtov!Y35+Rosica!Y35+Gabrovo!Y35+Plachkovci!Y35+Sevlievo!Y35+Bqla!Y35+Dunav_Ruse!Y35+Silistra!Y35+Tutrakan!Y35+Seslav!Y35+Karakuz!Y35+Razgrad!Y35+Voden!Y35</f>
        <v>71437</v>
      </c>
      <c r="Z35" s="162"/>
      <c r="AA35" s="160" t="s">
        <v>29</v>
      </c>
      <c r="AB35" s="163">
        <f>Bujnovci!AB35+Elena!AB35+Bolqrka!AB35+Gorna!AB35+Svishtov!AB35+Rosica!AB35+Gabrovo!AB35+Plachkovci!AB35+Sevlievo!AB35+Bqla!AB35+Dunav_Ruse!AB35+Silistra!AB35+Tutrakan!AB35+Seslav!AB35+Karakuz!AB35+Razgrad!AB35+Voden!AB35</f>
        <v>4.9399999999999995</v>
      </c>
      <c r="AC35" s="161">
        <f>Bujnovci!AC35+Elena!AC35+Bolqrka!AC35+Gorna!AC35+Svishtov!AC35+Rosica!AC35+Gabrovo!AC35+Plachkovci!AC35+Sevlievo!AC35+Bqla!AC35+Dunav_Ruse!AC35+Silistra!AC35+Tutrakan!AC35+Seslav!AC35+Karakuz!AC35+Razgrad!AC35+Voden!AC35</f>
        <v>335</v>
      </c>
      <c r="AD35" s="161">
        <f>Bujnovci!AD35+Elena!AD35+Bolqrka!AD35+Gorna!AD35+Svishtov!AD35+Rosica!AD35+Gabrovo!AD35+Plachkovci!AD35+Sevlievo!AD35+Bqla!AD35+Dunav_Ruse!AD35+Silistra!AD35+Tutrakan!AD35+Seslav!AD35+Karakuz!AD35+Razgrad!AD35+Voden!AD35</f>
        <v>277</v>
      </c>
      <c r="AE35" s="161">
        <f>Bujnovci!AE35+Elena!AE35+Bolqrka!AE35+Gorna!AE35+Svishtov!AE35+Rosica!AE35+Gabrovo!AE35+Plachkovci!AE35+Sevlievo!AE35+Bqla!AE35+Dunav_Ruse!AE35+Silistra!AE35+Tutrakan!AE35+Seslav!AE35+Karakuz!AE35+Razgrad!AE35+Voden!AE35</f>
        <v>16</v>
      </c>
      <c r="AF35" s="161">
        <f>Bujnovci!AF35+Elena!AF35+Bolqrka!AF35+Gorna!AF35+Svishtov!AF35+Rosica!AF35+Gabrovo!AF35+Plachkovci!AF35+Sevlievo!AF35+Bqla!AF35+Dunav_Ruse!AF35+Silistra!AF35+Tutrakan!AF35+Seslav!AF35+Karakuz!AF35+Razgrad!AF35+Voden!AF35</f>
        <v>86.5</v>
      </c>
      <c r="AG35" s="161">
        <f>Bujnovci!AG35+Elena!AG35+Bolqrka!AG35+Gorna!AG35+Svishtov!AG35+Rosica!AG35+Gabrovo!AG35+Plachkovci!AG35+Sevlievo!AG35+Bqla!AG35+Dunav_Ruse!AG35+Silistra!AG35+Tutrakan!AG35+Seslav!AG35+Karakuz!AG35+Razgrad!AG35+Voden!AG35</f>
        <v>27</v>
      </c>
      <c r="AH35" s="161">
        <f>Bujnovci!AH35+Elena!AH35+Bolqrka!AH35+Gorna!AH35+Svishtov!AH35+Rosica!AH35+Gabrovo!AH35+Plachkovci!AH35+Sevlievo!AH35+Bqla!AH35+Dunav_Ruse!AH35+Silistra!AH35+Tutrakan!AH35+Seslav!AH35+Karakuz!AH35+Razgrad!AH35+Voden!AH35</f>
        <v>149.5</v>
      </c>
      <c r="AI35" s="166"/>
      <c r="AJ35" s="161" t="s">
        <v>29</v>
      </c>
      <c r="AK35" s="163">
        <f>Bujnovci!AK35+Elena!AK35+Bolqrka!AK35+Gorna!AK35+Svishtov!AK35+Rosica!AK35+Gabrovo!AK35+Plachkovci!AK35+Sevlievo!AK35+Bqla!AK35+Dunav_Ruse!AK35+Silistra!AK35+Tutrakan!AK35+Seslav!AK35+Karakuz!AK35+Razgrad!AK35+Voden!AK35</f>
        <v>5.5000000000000009</v>
      </c>
      <c r="AL35" s="161">
        <f>Bujnovci!AL35+Elena!AL35+Bolqrka!AL35+Gorna!AL35+Svishtov!AL35+Rosica!AL35+Gabrovo!AL35+Plachkovci!AL35+Sevlievo!AL35+Bqla!AL35+Dunav_Ruse!AL35+Silistra!AL35+Tutrakan!AL35+Seslav!AL35+Karakuz!AL35+Razgrad!AL35+Voden!AL35</f>
        <v>265</v>
      </c>
      <c r="AM35" s="161">
        <f>Bujnovci!AM35+Elena!AM35+Bolqrka!AM35+Gorna!AM35+Svishtov!AM35+Rosica!AM35+Gabrovo!AM35+Plachkovci!AM35+Sevlievo!AM35+Bqla!AM35+Dunav_Ruse!AM35+Silistra!AM35+Tutrakan!AM35+Seslav!AM35+Karakuz!AM35+Razgrad!AM35+Voden!AM35</f>
        <v>226</v>
      </c>
      <c r="AN35" s="161">
        <f>Bujnovci!AN35+Elena!AN35+Bolqrka!AN35+Gorna!AN35+Svishtov!AN35+Rosica!AN35+Gabrovo!AN35+Plachkovci!AN35+Sevlievo!AN35+Bqla!AN35+Dunav_Ruse!AN35+Silistra!AN35+Tutrakan!AN35+Seslav!AN35+Karakuz!AN35+Razgrad!AN35+Voden!AN35</f>
        <v>3</v>
      </c>
      <c r="AO35" s="161">
        <f>Bujnovci!AO35+Elena!AO35+Bolqrka!AO35+Gorna!AO35+Svishtov!AO35+Rosica!AO35+Gabrovo!AO35+Plachkovci!AO35+Sevlievo!AO35+Bqla!AO35+Dunav_Ruse!AO35+Silistra!AO35+Tutrakan!AO35+Seslav!AO35+Karakuz!AO35+Razgrad!AO35+Voden!AO35</f>
        <v>35</v>
      </c>
      <c r="AP35" s="161">
        <f>Bujnovci!AP35+Elena!AP35+Bolqrka!AP35+Gorna!AP35+Svishtov!AP35+Rosica!AP35+Gabrovo!AP35+Plachkovci!AP35+Sevlievo!AP35+Bqla!AP35+Dunav_Ruse!AP35+Silistra!AP35+Tutrakan!AP35+Seslav!AP35+Karakuz!AP35+Razgrad!AP35+Voden!AP35</f>
        <v>27</v>
      </c>
      <c r="AQ35" s="161">
        <f>Bujnovci!AQ35+Elena!AQ35+Bolqrka!AQ35+Gorna!AQ35+Svishtov!AQ35+Rosica!AQ35+Gabrovo!AQ35+Plachkovci!AQ35+Sevlievo!AQ35+Bqla!AQ35+Dunav_Ruse!AQ35+Silistra!AQ35+Tutrakan!AQ35+Seslav!AQ35+Karakuz!AQ35+Razgrad!AQ35+Voden!AQ35</f>
        <v>158</v>
      </c>
      <c r="AR35" s="162"/>
      <c r="AS35" s="162"/>
    </row>
    <row r="36" spans="1:46" ht="12">
      <c r="A36" s="160" t="s">
        <v>30</v>
      </c>
      <c r="B36" s="163">
        <f>Bujnovci!B36+Elena!B36+Bolqrka!B36+Gorna!B36+Svishtov!B36+Rosica!B36+Gabrovo!B36+Plachkovci!B36+Sevlievo!B36+Bqla!B36+Dunav_Ruse!B36+Silistra!B36+Tutrakan!B36+Seslav!B36+Karakuz!B36+Razgrad!B36+Voden!B36</f>
        <v>1621.37</v>
      </c>
      <c r="C36" s="161">
        <f>Bujnovci!C36+Elena!C36+Bolqrka!C36+Gorna!C36+Svishtov!C36+Rosica!C36+Gabrovo!C36+Plachkovci!C36+Sevlievo!C36+Bqla!C36+Dunav_Ruse!C36+Silistra!C36+Tutrakan!C36+Seslav!C36+Karakuz!C36+Razgrad!C36+Voden!C36</f>
        <v>141664</v>
      </c>
      <c r="D36" s="161">
        <f>Bujnovci!D36+Elena!D36+Bolqrka!D36+Gorna!D36+Svishtov!D36+Rosica!D36+Gabrovo!D36+Plachkovci!D36+Sevlievo!D36+Bqla!D36+Dunav_Ruse!D36+Silistra!D36+Tutrakan!D36+Seslav!D36+Karakuz!D36+Razgrad!D36+Voden!D36</f>
        <v>129693</v>
      </c>
      <c r="E36" s="161">
        <f>Bujnovci!E36+Elena!E36+Bolqrka!E36+Gorna!E36+Svishtov!E36+Rosica!E36+Gabrovo!E36+Plachkovci!E36+Sevlievo!E36+Bqla!E36+Dunav_Ruse!E36+Silistra!E36+Tutrakan!E36+Seslav!E36+Karakuz!E36+Razgrad!E36+Voden!E36</f>
        <v>4938</v>
      </c>
      <c r="F36" s="161">
        <f>Bujnovci!F36+Elena!F36+Bolqrka!F36+Gorna!F36+Svishtov!F36+Rosica!F36+Gabrovo!F36+Plachkovci!F36+Sevlievo!F36+Bqla!F36+Dunav_Ruse!F36+Silistra!F36+Tutrakan!F36+Seslav!F36+Karakuz!F36+Razgrad!F36+Voden!F36</f>
        <v>35891</v>
      </c>
      <c r="G36" s="161">
        <f>Bujnovci!G36+Elena!G36+Bolqrka!G36+Gorna!G36+Svishtov!G36+Rosica!G36+Gabrovo!G36+Plachkovci!G36+Sevlievo!G36+Bqla!G36+Dunav_Ruse!G36+Silistra!G36+Tutrakan!G36+Seslav!G36+Karakuz!G36+Razgrad!G36+Voden!G36</f>
        <v>9201</v>
      </c>
      <c r="H36" s="161">
        <f>Bujnovci!H36+Elena!H36+Bolqrka!H36+Gorna!H36+Svishtov!H36+Rosica!H36+Gabrovo!H36+Plachkovci!H36+Sevlievo!H36+Bqla!H36+Dunav_Ruse!H36+Silistra!H36+Tutrakan!H36+Seslav!H36+Karakuz!H36+Razgrad!H36+Voden!H36</f>
        <v>79663</v>
      </c>
      <c r="I36" s="162"/>
      <c r="J36" s="160" t="s">
        <v>30</v>
      </c>
      <c r="K36" s="163">
        <f>Bujnovci!K36+Elena!K36+Bolqrka!K36+Gorna!K36+Svishtov!K36+Rosica!K36+Gabrovo!K36+Plachkovci!K36+Sevlievo!K36+Bqla!K36+Dunav_Ruse!K36+Silistra!K36+Tutrakan!K36+Seslav!K36+Karakuz!K36+Razgrad!K36+Voden!K36</f>
        <v>27.800000000000004</v>
      </c>
      <c r="L36" s="161">
        <f>Bujnovci!L36+Elena!L36+Bolqrka!L36+Gorna!L36+Svishtov!L36+Rosica!L36+Gabrovo!L36+Plachkovci!L36+Sevlievo!L36+Bqla!L36+Dunav_Ruse!L36+Silistra!L36+Tutrakan!L36+Seslav!L36+Karakuz!L36+Razgrad!L36+Voden!L36</f>
        <v>1935</v>
      </c>
      <c r="M36" s="161">
        <f>Bujnovci!M36+Elena!M36+Bolqrka!M36+Gorna!M36+Svishtov!M36+Rosica!M36+Gabrovo!M36+Plachkovci!M36+Sevlievo!M36+Bqla!M36+Dunav_Ruse!M36+Silistra!M36+Tutrakan!M36+Seslav!M36+Karakuz!M36+Razgrad!M36+Voden!M36</f>
        <v>1681</v>
      </c>
      <c r="N36" s="161">
        <f>Bujnovci!N36+Elena!N36+Bolqrka!N36+Gorna!N36+Svishtov!N36+Rosica!N36+Gabrovo!N36+Plachkovci!N36+Sevlievo!N36+Bqla!N36+Dunav_Ruse!N36+Silistra!N36+Tutrakan!N36+Seslav!N36+Karakuz!N36+Razgrad!N36+Voden!N36</f>
        <v>58</v>
      </c>
      <c r="O36" s="161">
        <f>Bujnovci!O36+Elena!O36+Bolqrka!O36+Gorna!O36+Svishtov!O36+Rosica!O36+Gabrovo!O36+Plachkovci!O36+Sevlievo!O36+Bqla!O36+Dunav_Ruse!O36+Silistra!O36+Tutrakan!O36+Seslav!O36+Karakuz!O36+Razgrad!O36+Voden!O36</f>
        <v>280</v>
      </c>
      <c r="P36" s="161">
        <f>Bujnovci!P36+Elena!P36+Bolqrka!P36+Gorna!P36+Svishtov!P36+Rosica!P36+Gabrovo!P36+Plachkovci!P36+Sevlievo!P36+Bqla!P36+Dunav_Ruse!P36+Silistra!P36+Tutrakan!P36+Seslav!P36+Karakuz!P36+Razgrad!P36+Voden!P36</f>
        <v>99</v>
      </c>
      <c r="Q36" s="161">
        <f>Bujnovci!Q36+Elena!Q36+Bolqrka!Q36+Gorna!Q36+Svishtov!Q36+Rosica!Q36+Gabrovo!Q36+Plachkovci!Q36+Sevlievo!Q36+Bqla!Q36+Dunav_Ruse!Q36+Silistra!Q36+Tutrakan!Q36+Seslav!Q36+Karakuz!Q36+Razgrad!Q36+Voden!Q36</f>
        <v>1244</v>
      </c>
      <c r="R36" s="160" t="s">
        <v>30</v>
      </c>
      <c r="S36" s="163">
        <f>Bujnovci!S36+Elena!S36+Bolqrka!S36+Gorna!S36+Svishtov!S36+Rosica!S36+Gabrovo!S36+Plachkovci!S36+Sevlievo!S36+Bqla!S36+Dunav_Ruse!S36+Silistra!S36+Tutrakan!S36+Seslav!S36+Karakuz!S36+Razgrad!S36+Voden!S36</f>
        <v>1587.06</v>
      </c>
      <c r="T36" s="161">
        <f>Bujnovci!T36+Elena!T36+Bolqrka!T36+Gorna!T36+Svishtov!T36+Rosica!T36+Gabrovo!T36+Plachkovci!T36+Sevlievo!T36+Bqla!T36+Dunav_Ruse!T36+Silistra!T36+Tutrakan!T36+Seslav!T36+Karakuz!T36+Razgrad!T36+Voden!T36</f>
        <v>139347</v>
      </c>
      <c r="U36" s="161">
        <f>Bujnovci!U36+Elena!U36+Bolqrka!U36+Gorna!U36+Svishtov!U36+Rosica!U36+Gabrovo!U36+Plachkovci!U36+Sevlievo!U36+Bqla!U36+Dunav_Ruse!U36+Silistra!U36+Tutrakan!U36+Seslav!U36+Karakuz!U36+Razgrad!U36+Voden!U36</f>
        <v>127644</v>
      </c>
      <c r="V36" s="161">
        <f>Bujnovci!V36+Elena!V36+Bolqrka!V36+Gorna!V36+Svishtov!V36+Rosica!V36+Gabrovo!V36+Plachkovci!V36+Sevlievo!V36+Bqla!V36+Dunav_Ruse!V36+Silistra!V36+Tutrakan!V36+Seslav!V36+Karakuz!V36+Razgrad!V36+Voden!V36</f>
        <v>4834</v>
      </c>
      <c r="W36" s="161">
        <f>Bujnovci!W36+Elena!W36+Bolqrka!W36+Gorna!W36+Svishtov!W36+Rosica!W36+Gabrovo!W36+Plachkovci!W36+Sevlievo!W36+Bqla!W36+Dunav_Ruse!W36+Silistra!W36+Tutrakan!W36+Seslav!W36+Karakuz!W36+Razgrad!W36+Voden!W36</f>
        <v>35589</v>
      </c>
      <c r="X36" s="161">
        <f>Bujnovci!X36+Elena!X36+Bolqrka!X36+Gorna!X36+Svishtov!X36+Rosica!X36+Gabrovo!X36+Plachkovci!X36+Sevlievo!X36+Bqla!X36+Dunav_Ruse!X36+Silistra!X36+Tutrakan!X36+Seslav!X36+Karakuz!X36+Razgrad!X36+Voden!X36</f>
        <v>9099</v>
      </c>
      <c r="Y36" s="161">
        <f>Bujnovci!Y36+Elena!Y36+Bolqrka!Y36+Gorna!Y36+Svishtov!Y36+Rosica!Y36+Gabrovo!Y36+Plachkovci!Y36+Sevlievo!Y36+Bqla!Y36+Dunav_Ruse!Y36+Silistra!Y36+Tutrakan!Y36+Seslav!Y36+Karakuz!Y36+Razgrad!Y36+Voden!Y36</f>
        <v>78122</v>
      </c>
      <c r="Z36" s="162"/>
      <c r="AA36" s="160" t="s">
        <v>30</v>
      </c>
      <c r="AB36" s="163">
        <f>Bujnovci!AB36+Elena!AB36+Bolqrka!AB36+Gorna!AB36+Svishtov!AB36+Rosica!AB36+Gabrovo!AB36+Plachkovci!AB36+Sevlievo!AB36+Bqla!AB36+Dunav_Ruse!AB36+Silistra!AB36+Tutrakan!AB36+Seslav!AB36+Karakuz!AB36+Razgrad!AB36+Voden!AB36</f>
        <v>0.8</v>
      </c>
      <c r="AC36" s="161">
        <f>Bujnovci!AC36+Elena!AC36+Bolqrka!AC36+Gorna!AC36+Svishtov!AC36+Rosica!AC36+Gabrovo!AC36+Plachkovci!AC36+Sevlievo!AC36+Bqla!AC36+Dunav_Ruse!AC36+Silistra!AC36+Tutrakan!AC36+Seslav!AC36+Karakuz!AC36+Razgrad!AC36+Voden!AC36</f>
        <v>109</v>
      </c>
      <c r="AD36" s="161">
        <f>Bujnovci!AD36+Elena!AD36+Bolqrka!AD36+Gorna!AD36+Svishtov!AD36+Rosica!AD36+Gabrovo!AD36+Plachkovci!AD36+Sevlievo!AD36+Bqla!AD36+Dunav_Ruse!AD36+Silistra!AD36+Tutrakan!AD36+Seslav!AD36+Karakuz!AD36+Razgrad!AD36+Voden!AD36</f>
        <v>74</v>
      </c>
      <c r="AE36" s="161">
        <f>Bujnovci!AE36+Elena!AE36+Bolqrka!AE36+Gorna!AE36+Svishtov!AE36+Rosica!AE36+Gabrovo!AE36+Plachkovci!AE36+Sevlievo!AE36+Bqla!AE36+Dunav_Ruse!AE36+Silistra!AE36+Tutrakan!AE36+Seslav!AE36+Karakuz!AE36+Razgrad!AE36+Voden!AE36</f>
        <v>0</v>
      </c>
      <c r="AF36" s="161">
        <f>Bujnovci!AF36+Elena!AF36+Bolqrka!AF36+Gorna!AF36+Svishtov!AF36+Rosica!AF36+Gabrovo!AF36+Plachkovci!AF36+Sevlievo!AF36+Bqla!AF36+Dunav_Ruse!AF36+Silistra!AF36+Tutrakan!AF36+Seslav!AF36+Karakuz!AF36+Razgrad!AF36+Voden!AF36</f>
        <v>7</v>
      </c>
      <c r="AG36" s="161">
        <f>Bujnovci!AG36+Elena!AG36+Bolqrka!AG36+Gorna!AG36+Svishtov!AG36+Rosica!AG36+Gabrovo!AG36+Plachkovci!AG36+Sevlievo!AG36+Bqla!AG36+Dunav_Ruse!AG36+Silistra!AG36+Tutrakan!AG36+Seslav!AG36+Karakuz!AG36+Razgrad!AG36+Voden!AG36</f>
        <v>1</v>
      </c>
      <c r="AH36" s="161">
        <f>Bujnovci!AH36+Elena!AH36+Bolqrka!AH36+Gorna!AH36+Svishtov!AH36+Rosica!AH36+Gabrovo!AH36+Plachkovci!AH36+Sevlievo!AH36+Bqla!AH36+Dunav_Ruse!AH36+Silistra!AH36+Tutrakan!AH36+Seslav!AH36+Karakuz!AH36+Razgrad!AH36+Voden!AH36</f>
        <v>66</v>
      </c>
      <c r="AI36" s="166"/>
      <c r="AJ36" s="161" t="s">
        <v>30</v>
      </c>
      <c r="AK36" s="163">
        <f>Bujnovci!AK36+Elena!AK36+Bolqrka!AK36+Gorna!AK36+Svishtov!AK36+Rosica!AK36+Gabrovo!AK36+Plachkovci!AK36+Sevlievo!AK36+Bqla!AK36+Dunav_Ruse!AK36+Silistra!AK36+Tutrakan!AK36+Seslav!AK36+Karakuz!AK36+Razgrad!AK36+Voden!AK36</f>
        <v>6.51</v>
      </c>
      <c r="AL36" s="161">
        <f>Bujnovci!AL36+Elena!AL36+Bolqrka!AL36+Gorna!AL36+Svishtov!AL36+Rosica!AL36+Gabrovo!AL36+Plachkovci!AL36+Sevlievo!AL36+Bqla!AL36+Dunav_Ruse!AL36+Silistra!AL36+Tutrakan!AL36+Seslav!AL36+Karakuz!AL36+Razgrad!AL36+Voden!AL36</f>
        <v>382</v>
      </c>
      <c r="AM36" s="161">
        <f>Bujnovci!AM36+Elena!AM36+Bolqrka!AM36+Gorna!AM36+Svishtov!AM36+Rosica!AM36+Gabrovo!AM36+Plachkovci!AM36+Sevlievo!AM36+Bqla!AM36+Dunav_Ruse!AM36+Silistra!AM36+Tutrakan!AM36+Seslav!AM36+Karakuz!AM36+Razgrad!AM36+Voden!AM36</f>
        <v>368</v>
      </c>
      <c r="AN36" s="161">
        <f>Bujnovci!AN36+Elena!AN36+Bolqrka!AN36+Gorna!AN36+Svishtov!AN36+Rosica!AN36+Gabrovo!AN36+Plachkovci!AN36+Sevlievo!AN36+Bqla!AN36+Dunav_Ruse!AN36+Silistra!AN36+Tutrakan!AN36+Seslav!AN36+Karakuz!AN36+Razgrad!AN36+Voden!AN36</f>
        <v>46</v>
      </c>
      <c r="AO36" s="161">
        <f>Bujnovci!AO36+Elena!AO36+Bolqrka!AO36+Gorna!AO36+Svishtov!AO36+Rosica!AO36+Gabrovo!AO36+Plachkovci!AO36+Sevlievo!AO36+Bqla!AO36+Dunav_Ruse!AO36+Silistra!AO36+Tutrakan!AO36+Seslav!AO36+Karakuz!AO36+Razgrad!AO36+Voden!AO36</f>
        <v>22</v>
      </c>
      <c r="AP36" s="161">
        <f>Bujnovci!AP36+Elena!AP36+Bolqrka!AP36+Gorna!AP36+Svishtov!AP36+Rosica!AP36+Gabrovo!AP36+Plachkovci!AP36+Sevlievo!AP36+Bqla!AP36+Dunav_Ruse!AP36+Silistra!AP36+Tutrakan!AP36+Seslav!AP36+Karakuz!AP36+Razgrad!AP36+Voden!AP36</f>
        <v>3</v>
      </c>
      <c r="AQ36" s="161">
        <f>Bujnovci!AQ36+Elena!AQ36+Bolqrka!AQ36+Gorna!AQ36+Svishtov!AQ36+Rosica!AQ36+Gabrovo!AQ36+Plachkovci!AQ36+Sevlievo!AQ36+Bqla!AQ36+Dunav_Ruse!AQ36+Silistra!AQ36+Tutrakan!AQ36+Seslav!AQ36+Karakuz!AQ36+Razgrad!AQ36+Voden!AQ36</f>
        <v>297</v>
      </c>
      <c r="AR36" s="162"/>
      <c r="AS36" s="162"/>
    </row>
    <row r="37" spans="1:46" ht="12">
      <c r="A37" s="160" t="s">
        <v>12</v>
      </c>
      <c r="B37" s="161">
        <f t="shared" ref="B37:H37" si="35">B36/B35*100</f>
        <v>92.603148131225453</v>
      </c>
      <c r="C37" s="161">
        <f t="shared" si="35"/>
        <v>98.663834380930822</v>
      </c>
      <c r="D37" s="161">
        <f t="shared" si="35"/>
        <v>104.25021401786898</v>
      </c>
      <c r="E37" s="161">
        <f t="shared" si="35"/>
        <v>85.639958376690956</v>
      </c>
      <c r="F37" s="161">
        <f t="shared" si="35"/>
        <v>99.95683232840851</v>
      </c>
      <c r="G37" s="161">
        <f t="shared" si="35"/>
        <v>88.335253456221196</v>
      </c>
      <c r="H37" s="161">
        <f t="shared" si="35"/>
        <v>110.34267826472382</v>
      </c>
      <c r="I37" s="162"/>
      <c r="J37" s="160"/>
      <c r="K37" s="161">
        <f t="shared" ref="K37:Q37" si="36">K36/K35*100</f>
        <v>194.81429572529788</v>
      </c>
      <c r="L37" s="161">
        <f t="shared" si="36"/>
        <v>187.68186226964113</v>
      </c>
      <c r="M37" s="161">
        <f t="shared" si="36"/>
        <v>190.80590238365494</v>
      </c>
      <c r="N37" s="161">
        <f t="shared" si="36"/>
        <v>725</v>
      </c>
      <c r="O37" s="161">
        <f t="shared" si="36"/>
        <v>179.4871794871795</v>
      </c>
      <c r="P37" s="161">
        <f t="shared" si="36"/>
        <v>90</v>
      </c>
      <c r="Q37" s="161">
        <f t="shared" si="36"/>
        <v>206.98835274542429</v>
      </c>
      <c r="R37" s="160"/>
      <c r="S37" s="161">
        <f t="shared" ref="S37:Y37" si="37">S36/S35*100</f>
        <v>91.678749472881535</v>
      </c>
      <c r="T37" s="161">
        <f t="shared" si="37"/>
        <v>97.934097753476252</v>
      </c>
      <c r="U37" s="161">
        <f t="shared" si="37"/>
        <v>103.52437377583669</v>
      </c>
      <c r="V37" s="161">
        <f t="shared" si="37"/>
        <v>83.996524761077325</v>
      </c>
      <c r="W37" s="161">
        <f t="shared" si="37"/>
        <v>99.64581204239056</v>
      </c>
      <c r="X37" s="161">
        <f t="shared" si="37"/>
        <v>88.520284074326298</v>
      </c>
      <c r="Y37" s="161">
        <f t="shared" si="37"/>
        <v>109.35789576829936</v>
      </c>
      <c r="Z37" s="162"/>
      <c r="AA37" s="160"/>
      <c r="AB37" s="161">
        <f t="shared" ref="AB37:AH37" si="38">AB36/AB35*100</f>
        <v>16.194331983805672</v>
      </c>
      <c r="AC37" s="161">
        <f t="shared" si="38"/>
        <v>32.537313432835816</v>
      </c>
      <c r="AD37" s="161">
        <f t="shared" si="38"/>
        <v>26.714801444043324</v>
      </c>
      <c r="AE37" s="161">
        <f t="shared" si="38"/>
        <v>0</v>
      </c>
      <c r="AF37" s="161">
        <f t="shared" si="38"/>
        <v>8.0924855491329488</v>
      </c>
      <c r="AG37" s="161">
        <f t="shared" si="38"/>
        <v>3.7037037037037033</v>
      </c>
      <c r="AH37" s="161">
        <f t="shared" si="38"/>
        <v>44.147157190635447</v>
      </c>
      <c r="AI37" s="169"/>
      <c r="AJ37" s="200"/>
      <c r="AK37" s="161">
        <f t="shared" ref="AK37:AQ37" si="39">AK36/AK35*100</f>
        <v>118.36363636363633</v>
      </c>
      <c r="AL37" s="161">
        <f t="shared" si="39"/>
        <v>144.15094339622641</v>
      </c>
      <c r="AM37" s="161">
        <f t="shared" si="39"/>
        <v>162.83185840707966</v>
      </c>
      <c r="AN37" s="161">
        <f t="shared" si="39"/>
        <v>1533.3333333333335</v>
      </c>
      <c r="AO37" s="161">
        <f t="shared" si="39"/>
        <v>62.857142857142854</v>
      </c>
      <c r="AP37" s="161">
        <f t="shared" si="39"/>
        <v>11.111111111111111</v>
      </c>
      <c r="AQ37" s="161">
        <f t="shared" si="39"/>
        <v>187.97468354430379</v>
      </c>
      <c r="AR37" s="162"/>
      <c r="AS37" s="162"/>
    </row>
    <row r="38" spans="1:46" ht="12">
      <c r="A38" s="160" t="s">
        <v>31</v>
      </c>
      <c r="B38" s="163">
        <f>Bujnovci!B38+Elena!B38+Bolqrka!B38+Gorna!B38+Svishtov!B38+Rosica!B38+Gabrovo!B38+Plachkovci!B38+Sevlievo!B38+Bqla!B38+Dunav_Ruse!B38+Silistra!B38+Tutrakan!B38+Seslav!B38+Karakuz!B38+Razgrad!B38+Voden!B38</f>
        <v>2847.1400000000003</v>
      </c>
      <c r="C38" s="161">
        <f>Bujnovci!C38+Elena!C38+Bolqrka!C38+Gorna!C38+Svishtov!C38+Rosica!C38+Gabrovo!C38+Plachkovci!C38+Sevlievo!C38+Bqla!C38+Dunav_Ruse!C38+Silistra!C38+Tutrakan!C38+Seslav!C38+Karakuz!C38+Razgrad!C38+Voden!C38</f>
        <v>117291</v>
      </c>
      <c r="D38" s="161">
        <f>Bujnovci!D38+Elena!D38+Bolqrka!D38+Gorna!D38+Svishtov!D38+Rosica!D38+Gabrovo!D38+Plachkovci!D38+Sevlievo!D38+Bqla!D38+Dunav_Ruse!D38+Silistra!D38+Tutrakan!D38+Seslav!D38+Karakuz!D38+Razgrad!D38+Voden!D38</f>
        <v>97662</v>
      </c>
      <c r="E38" s="161">
        <f>Bujnovci!E38+Elena!E38+Bolqrka!E38+Gorna!E38+Svishtov!E38+Rosica!E38+Gabrovo!E38+Plachkovci!E38+Sevlievo!E38+Bqla!E38+Dunav_Ruse!E38+Silistra!E38+Tutrakan!E38+Seslav!E38+Karakuz!E38+Razgrad!E38+Voden!E38</f>
        <v>14234</v>
      </c>
      <c r="F38" s="161">
        <f>Bujnovci!F38+Elena!F38+Bolqrka!F38+Gorna!F38+Svishtov!F38+Rosica!F38+Gabrovo!F38+Plachkovci!F38+Sevlievo!F38+Bqla!F38+Dunav_Ruse!F38+Silistra!F38+Tutrakan!F38+Seslav!F38+Karakuz!F38+Razgrad!F38+Voden!F38</f>
        <v>23876.5</v>
      </c>
      <c r="G38" s="161">
        <f>Bujnovci!G38+Elena!G38+Bolqrka!G38+Gorna!G38+Svishtov!G38+Rosica!G38+Gabrovo!G38+Plachkovci!G38+Sevlievo!G38+Bqla!G38+Dunav_Ruse!G38+Silistra!G38+Tutrakan!G38+Seslav!G38+Karakuz!G38+Razgrad!G38+Voden!G38</f>
        <v>5130</v>
      </c>
      <c r="H38" s="161">
        <f>Bujnovci!H38+Elena!H38+Bolqrka!H38+Gorna!H38+Svishtov!H38+Rosica!H38+Gabrovo!H38+Plachkovci!H38+Sevlievo!H38+Bqla!H38+Dunav_Ruse!H38+Silistra!H38+Tutrakan!H38+Seslav!H38+Karakuz!H38+Razgrad!H38+Voden!H38</f>
        <v>54252.5</v>
      </c>
      <c r="I38" s="162"/>
      <c r="J38" s="160" t="s">
        <v>31</v>
      </c>
      <c r="K38" s="163">
        <f>Bujnovci!K38+Elena!K38+Bolqrka!K38+Gorna!K38+Svishtov!K38+Rosica!K38+Gabrovo!K38+Plachkovci!K38+Sevlievo!K38+Bqla!K38+Dunav_Ruse!K38+Silistra!K38+Tutrakan!K38+Seslav!K38+Karakuz!K38+Razgrad!K38+Voden!K38</f>
        <v>1491.59</v>
      </c>
      <c r="L38" s="161">
        <f>Bujnovci!L38+Elena!L38+Bolqrka!L38+Gorna!L38+Svishtov!L38+Rosica!L38+Gabrovo!L38+Plachkovci!L38+Sevlievo!L38+Bqla!L38+Dunav_Ruse!L38+Silistra!L38+Tutrakan!L38+Seslav!L38+Karakuz!L38+Razgrad!L38+Voden!L38</f>
        <v>55438</v>
      </c>
      <c r="M38" s="161">
        <f>Bujnovci!M38+Elena!M38+Bolqrka!M38+Gorna!M38+Svishtov!M38+Rosica!M38+Gabrovo!M38+Plachkovci!M38+Sevlievo!M38+Bqla!M38+Dunav_Ruse!M38+Silistra!M38+Tutrakan!M38+Seslav!M38+Karakuz!M38+Razgrad!M38+Voden!M38</f>
        <v>46475.5</v>
      </c>
      <c r="N38" s="161">
        <f>Bujnovci!N38+Elena!N38+Bolqrka!N38+Gorna!N38+Svishtov!N38+Rosica!N38+Gabrovo!N38+Plachkovci!N38+Sevlievo!N38+Bqla!N38+Dunav_Ruse!N38+Silistra!N38+Tutrakan!N38+Seslav!N38+Karakuz!N38+Razgrad!N38+Voden!N38</f>
        <v>4185.5</v>
      </c>
      <c r="O38" s="161">
        <f>Bujnovci!O38+Elena!O38+Bolqrka!O38+Gorna!O38+Svishtov!O38+Rosica!O38+Gabrovo!O38+Plachkovci!O38+Sevlievo!O38+Bqla!O38+Dunav_Ruse!O38+Silistra!O38+Tutrakan!O38+Seslav!O38+Karakuz!O38+Razgrad!O38+Voden!O38</f>
        <v>13852</v>
      </c>
      <c r="P38" s="161">
        <f>Bujnovci!P38+Elena!P38+Bolqrka!P38+Gorna!P38+Svishtov!P38+Rosica!P38+Gabrovo!P38+Plachkovci!P38+Sevlievo!P38+Bqla!P38+Dunav_Ruse!P38+Silistra!P38+Tutrakan!P38+Seslav!P38+Karakuz!P38+Razgrad!P38+Voden!P38</f>
        <v>3338.5</v>
      </c>
      <c r="Q38" s="161">
        <f>Bujnovci!Q38+Elena!Q38+Bolqrka!Q38+Gorna!Q38+Svishtov!Q38+Rosica!Q38+Gabrovo!Q38+Plachkovci!Q38+Sevlievo!Q38+Bqla!Q38+Dunav_Ruse!Q38+Silistra!Q38+Tutrakan!Q38+Seslav!Q38+Karakuz!Q38+Razgrad!Q38+Voden!Q38</f>
        <v>25015.5</v>
      </c>
      <c r="R38" s="160" t="s">
        <v>31</v>
      </c>
      <c r="S38" s="163">
        <f>Bujnovci!S38+Elena!S38+Bolqrka!S38+Gorna!S38+Svishtov!S38+Rosica!S38+Gabrovo!S38+Plachkovci!S38+Sevlievo!S38+Bqla!S38+Dunav_Ruse!S38+Silistra!S38+Tutrakan!S38+Seslav!S38+Karakuz!S38+Razgrad!S38+Voden!S38</f>
        <v>1144.25</v>
      </c>
      <c r="T38" s="161">
        <f>Bujnovci!T38+Elena!T38+Bolqrka!T38+Gorna!T38+Svishtov!T38+Rosica!T38+Gabrovo!T38+Plachkovci!T38+Sevlievo!T38+Bqla!T38+Dunav_Ruse!T38+Silistra!T38+Tutrakan!T38+Seslav!T38+Karakuz!T38+Razgrad!T38+Voden!T38</f>
        <v>58790</v>
      </c>
      <c r="U38" s="161">
        <f>Bujnovci!U38+Elena!U38+Bolqrka!U38+Gorna!U38+Svishtov!U38+Rosica!U38+Gabrovo!U38+Plachkovci!U38+Sevlievo!U38+Bqla!U38+Dunav_Ruse!U38+Silistra!U38+Tutrakan!U38+Seslav!U38+Karakuz!U38+Razgrad!U38+Voden!U38</f>
        <v>48876.5</v>
      </c>
      <c r="V38" s="161">
        <f>Bujnovci!V38+Elena!V38+Bolqrka!V38+Gorna!V38+Svishtov!V38+Rosica!V38+Gabrovo!V38+Plachkovci!V38+Sevlievo!V38+Bqla!V38+Dunav_Ruse!V38+Silistra!V38+Tutrakan!V38+Seslav!V38+Karakuz!V38+Razgrad!V38+Voden!V38</f>
        <v>9943.5</v>
      </c>
      <c r="W38" s="161">
        <f>Bujnovci!W38+Elena!W38+Bolqrka!W38+Gorna!W38+Svishtov!W38+Rosica!W38+Gabrovo!W38+Plachkovci!W38+Sevlievo!W38+Bqla!W38+Dunav_Ruse!W38+Silistra!W38+Tutrakan!W38+Seslav!W38+Karakuz!W38+Razgrad!W38+Voden!W38</f>
        <v>9702.5</v>
      </c>
      <c r="X38" s="161">
        <f>Bujnovci!X38+Elena!X38+Bolqrka!X38+Gorna!X38+Svishtov!X38+Rosica!X38+Gabrovo!X38+Plachkovci!X38+Sevlievo!X38+Bqla!X38+Dunav_Ruse!X38+Silistra!X38+Tutrakan!X38+Seslav!X38+Karakuz!X38+Razgrad!X38+Voden!X38</f>
        <v>1637.5</v>
      </c>
      <c r="Y38" s="161">
        <f>Bujnovci!Y38+Elena!Y38+Bolqrka!Y38+Gorna!Y38+Svishtov!Y38+Rosica!Y38+Gabrovo!Y38+Plachkovci!Y38+Sevlievo!Y38+Bqla!Y38+Dunav_Ruse!Y38+Silistra!Y38+Tutrakan!Y38+Seslav!Y38+Karakuz!Y38+Razgrad!Y38+Voden!Y38</f>
        <v>27511</v>
      </c>
      <c r="AA38" s="160" t="s">
        <v>31</v>
      </c>
      <c r="AB38" s="163">
        <f>Bujnovci!AB38+Elena!AB38+Bolqrka!AB38+Gorna!AB38+Svishtov!AB38+Rosica!AB38+Gabrovo!AB38+Plachkovci!AB38+Sevlievo!AB38+Bqla!AB38+Dunav_Ruse!AB38+Silistra!AB38+Tutrakan!AB38+Seslav!AB38+Karakuz!AB38+Razgrad!AB38+Voden!AB38</f>
        <v>404.1</v>
      </c>
      <c r="AC38" s="161">
        <f>Bujnovci!AC38+Elena!AC38+Bolqrka!AC38+Gorna!AC38+Svishtov!AC38+Rosica!AC38+Gabrovo!AC38+Plachkovci!AC38+Sevlievo!AC38+Bqla!AC38+Dunav_Ruse!AC38+Silistra!AC38+Tutrakan!AC38+Seslav!AC38+Karakuz!AC38+Razgrad!AC38+Voden!AC38</f>
        <v>31015.5</v>
      </c>
      <c r="AD38" s="161">
        <f>Bujnovci!AD38+Elena!AD38+Bolqrka!AD38+Gorna!AD38+Svishtov!AD38+Rosica!AD38+Gabrovo!AD38+Plachkovci!AD38+Sevlievo!AD38+Bqla!AD38+Dunav_Ruse!AD38+Silistra!AD38+Tutrakan!AD38+Seslav!AD38+Karakuz!AD38+Razgrad!AD38+Voden!AD38</f>
        <v>34792</v>
      </c>
      <c r="AE38" s="161">
        <f>Bujnovci!AE38+Elena!AE38+Bolqrka!AE38+Gorna!AE38+Svishtov!AE38+Rosica!AE38+Gabrovo!AE38+Plachkovci!AE38+Sevlievo!AE38+Bqla!AE38+Dunav_Ruse!AE38+Silistra!AE38+Tutrakan!AE38+Seslav!AE38+Karakuz!AE38+Razgrad!AE38+Voden!AE38</f>
        <v>7540.5</v>
      </c>
      <c r="AF38" s="161">
        <f>Bujnovci!AF38+Elena!AF38+Bolqrka!AF38+Gorna!AF38+Svishtov!AF38+Rosica!AF38+Gabrovo!AF38+Plachkovci!AF38+Sevlievo!AF38+Bqla!AF38+Dunav_Ruse!AF38+Silistra!AF38+Tutrakan!AF38+Seslav!AF38+Karakuz!AF38+Razgrad!AF38+Voden!AF38</f>
        <v>13253</v>
      </c>
      <c r="AG38" s="161">
        <f>Bujnovci!AG38+Elena!AG38+Bolqrka!AG38+Gorna!AG38+Svishtov!AG38+Rosica!AG38+Gabrovo!AG38+Plachkovci!AG38+Sevlievo!AG38+Bqla!AG38+Dunav_Ruse!AG38+Silistra!AG38+Tutrakan!AG38+Seslav!AG38+Karakuz!AG38+Razgrad!AG38+Voden!AG38</f>
        <v>666</v>
      </c>
      <c r="AH38" s="161">
        <f>Bujnovci!AH38+Elena!AH38+Bolqrka!AH38+Gorna!AH38+Svishtov!AH38+Rosica!AH38+Gabrovo!AH38+Plachkovci!AH38+Sevlievo!AH38+Bqla!AH38+Dunav_Ruse!AH38+Silistra!AH38+Tutrakan!AH38+Seslav!AH38+Karakuz!AH38+Razgrad!AH38+Voden!AH38</f>
        <v>13270.5</v>
      </c>
      <c r="AI38" s="166"/>
      <c r="AJ38" s="161" t="s">
        <v>31</v>
      </c>
      <c r="AK38" s="163">
        <f>Bujnovci!AK38+Elena!AK38+Bolqrka!AK38+Gorna!AK38+Svishtov!AK38+Rosica!AK38+Gabrovo!AK38+Plachkovci!AK38+Sevlievo!AK38+Bqla!AK38+Dunav_Ruse!AK38+Silistra!AK38+Tutrakan!AK38+Seslav!AK38+Karakuz!AK38+Razgrad!AK38+Voden!AK38</f>
        <v>211.29999999999998</v>
      </c>
      <c r="AL38" s="161">
        <f>Bujnovci!AL38+Elena!AL38+Bolqrka!AL38+Gorna!AL38+Svishtov!AL38+Rosica!AL38+Gabrovo!AL38+Plachkovci!AL38+Sevlievo!AL38+Bqla!AL38+Dunav_Ruse!AL38+Silistra!AL38+Tutrakan!AL38+Seslav!AL38+Karakuz!AL38+Razgrad!AL38+Voden!AL38</f>
        <v>3063</v>
      </c>
      <c r="AM38" s="161">
        <f>Bujnovci!AM38+Elena!AM38+Bolqrka!AM38+Gorna!AM38+Svishtov!AM38+Rosica!AM38+Gabrovo!AM38+Plachkovci!AM38+Sevlievo!AM38+Bqla!AM38+Dunav_Ruse!AM38+Silistra!AM38+Tutrakan!AM38+Seslav!AM38+Karakuz!AM38+Razgrad!AM38+Voden!AM38</f>
        <v>2310</v>
      </c>
      <c r="AN38" s="161">
        <f>Bujnovci!AN38+Elena!AN38+Bolqrka!AN38+Gorna!AN38+Svishtov!AN38+Rosica!AN38+Gabrovo!AN38+Plachkovci!AN38+Sevlievo!AN38+Bqla!AN38+Dunav_Ruse!AN38+Silistra!AN38+Tutrakan!AN38+Seslav!AN38+Karakuz!AN38+Razgrad!AN38+Voden!AN38</f>
        <v>105</v>
      </c>
      <c r="AO38" s="161">
        <f>Bujnovci!AO38+Elena!AO38+Bolqrka!AO38+Gorna!AO38+Svishtov!AO38+Rosica!AO38+Gabrovo!AO38+Plachkovci!AO38+Sevlievo!AO38+Bqla!AO38+Dunav_Ruse!AO38+Silistra!AO38+Tutrakan!AO38+Seslav!AO38+Karakuz!AO38+Razgrad!AO38+Voden!AO38</f>
        <v>322</v>
      </c>
      <c r="AP38" s="161">
        <f>Bujnovci!AP38+Elena!AP38+Bolqrka!AP38+Gorna!AP38+Svishtov!AP38+Rosica!AP38+Gabrovo!AP38+Plachkovci!AP38+Sevlievo!AP38+Bqla!AP38+Dunav_Ruse!AP38+Silistra!AP38+Tutrakan!AP38+Seslav!AP38+Karakuz!AP38+Razgrad!AP38+Voden!AP38</f>
        <v>154</v>
      </c>
      <c r="AQ38" s="161">
        <f>Bujnovci!AQ38+Elena!AQ38+Bolqrka!AQ38+Gorna!AQ38+Svishtov!AQ38+Rosica!AQ38+Gabrovo!AQ38+Plachkovci!AQ38+Sevlievo!AQ38+Bqla!AQ38+Dunav_Ruse!AQ38+Silistra!AQ38+Tutrakan!AQ38+Seslav!AQ38+Karakuz!AQ38+Razgrad!AQ38+Voden!AQ38</f>
        <v>1726</v>
      </c>
      <c r="AR38" s="162"/>
      <c r="AS38" s="162"/>
    </row>
    <row r="39" spans="1:46" ht="12">
      <c r="A39" s="160" t="s">
        <v>32</v>
      </c>
      <c r="B39" s="163">
        <f>Bujnovci!B39+Elena!B39+Bolqrka!B39+Gorna!B39+Svishtov!B39+Rosica!B39+Gabrovo!B39+Plachkovci!B39+Sevlievo!B39+Bqla!B39+Dunav_Ruse!B39+Silistra!B39+Tutrakan!B39+Seslav!B39+Karakuz!B39+Razgrad!B39+Voden!B39</f>
        <v>2446.73</v>
      </c>
      <c r="C39" s="161">
        <f>Bujnovci!C39+Elena!C39+Bolqrka!C39+Gorna!C39+Svishtov!C39+Rosica!C39+Gabrovo!C39+Plachkovci!C39+Sevlievo!C39+Bqla!C39+Dunav_Ruse!C39+Silistra!C39+Tutrakan!C39+Seslav!C39+Karakuz!C39+Razgrad!C39+Voden!C39</f>
        <v>133395</v>
      </c>
      <c r="D39" s="161">
        <f>Bujnovci!D39+Elena!D39+Bolqrka!D39+Gorna!D39+Svishtov!D39+Rosica!D39+Gabrovo!D39+Plachkovci!D39+Sevlievo!D39+Bqla!D39+Dunav_Ruse!D39+Silistra!D39+Tutrakan!D39+Seslav!D39+Karakuz!D39+Razgrad!D39+Voden!D39</f>
        <v>119474</v>
      </c>
      <c r="E39" s="161">
        <f>Bujnovci!E39+Elena!E39+Bolqrka!E39+Gorna!E39+Svishtov!E39+Rosica!E39+Gabrovo!E39+Plachkovci!E39+Sevlievo!E39+Bqla!E39+Dunav_Ruse!E39+Silistra!E39+Tutrakan!E39+Seslav!E39+Karakuz!E39+Razgrad!E39+Voden!E39</f>
        <v>18141</v>
      </c>
      <c r="F39" s="161">
        <f>Bujnovci!F39+Elena!F39+Bolqrka!F39+Gorna!F39+Svishtov!F39+Rosica!F39+Gabrovo!F39+Plachkovci!F39+Sevlievo!F39+Bqla!F39+Dunav_Ruse!F39+Silistra!F39+Tutrakan!F39+Seslav!F39+Karakuz!F39+Razgrad!F39+Voden!F39</f>
        <v>16852</v>
      </c>
      <c r="G39" s="161">
        <f>Bujnovci!G39+Elena!G39+Bolqrka!G39+Gorna!G39+Svishtov!G39+Rosica!G39+Gabrovo!G39+Plachkovci!G39+Sevlievo!G39+Bqla!G39+Dunav_Ruse!G39+Silistra!G39+Tutrakan!G39+Seslav!G39+Karakuz!G39+Razgrad!G39+Voden!G39</f>
        <v>2887</v>
      </c>
      <c r="H39" s="161">
        <f>Bujnovci!H39+Elena!H39+Bolqrka!H39+Gorna!H39+Svishtov!H39+Rosica!H39+Gabrovo!H39+Plachkovci!H39+Sevlievo!H39+Bqla!H39+Dunav_Ruse!H39+Silistra!H39+Tutrakan!H39+Seslav!H39+Karakuz!H39+Razgrad!H39+Voden!H39</f>
        <v>81594</v>
      </c>
      <c r="I39" s="162"/>
      <c r="J39" s="160" t="s">
        <v>32</v>
      </c>
      <c r="K39" s="163">
        <f>Bujnovci!K39+Elena!K39+Bolqrka!K39+Gorna!K39+Svishtov!K39+Rosica!K39+Gabrovo!K39+Plachkovci!K39+Sevlievo!K39+Bqla!K39+Dunav_Ruse!K39+Silistra!K39+Tutrakan!K39+Seslav!K39+Karakuz!K39+Razgrad!K39+Voden!K39</f>
        <v>1561.08</v>
      </c>
      <c r="L39" s="161">
        <f>Bujnovci!L39+Elena!L39+Bolqrka!L39+Gorna!L39+Svishtov!L39+Rosica!L39+Gabrovo!L39+Plachkovci!L39+Sevlievo!L39+Bqla!L39+Dunav_Ruse!L39+Silistra!L39+Tutrakan!L39+Seslav!L39+Karakuz!L39+Razgrad!L39+Voden!L39</f>
        <v>76895</v>
      </c>
      <c r="M39" s="161">
        <f>Bujnovci!M39+Elena!M39+Bolqrka!M39+Gorna!M39+Svishtov!M39+Rosica!M39+Gabrovo!M39+Plachkovci!M39+Sevlievo!M39+Bqla!M39+Dunav_Ruse!M39+Silistra!M39+Tutrakan!M39+Seslav!M39+Karakuz!M39+Razgrad!M39+Voden!M39</f>
        <v>69176</v>
      </c>
      <c r="N39" s="161">
        <f>Bujnovci!N39+Elena!N39+Bolqrka!N39+Gorna!N39+Svishtov!N39+Rosica!N39+Gabrovo!N39+Plachkovci!N39+Sevlievo!N39+Bqla!N39+Dunav_Ruse!N39+Silistra!N39+Tutrakan!N39+Seslav!N39+Karakuz!N39+Razgrad!N39+Voden!N39</f>
        <v>9225</v>
      </c>
      <c r="O39" s="161">
        <f>Bujnovci!O39+Elena!O39+Bolqrka!O39+Gorna!O39+Svishtov!O39+Rosica!O39+Gabrovo!O39+Plachkovci!O39+Sevlievo!O39+Bqla!O39+Dunav_Ruse!O39+Silistra!O39+Tutrakan!O39+Seslav!O39+Karakuz!O39+Razgrad!O39+Voden!O39</f>
        <v>11336</v>
      </c>
      <c r="P39" s="161">
        <f>Bujnovci!P39+Elena!P39+Bolqrka!P39+Gorna!P39+Svishtov!P39+Rosica!P39+Gabrovo!P39+Plachkovci!P39+Sevlievo!P39+Bqla!P39+Dunav_Ruse!P39+Silistra!P39+Tutrakan!P39+Seslav!P39+Karakuz!P39+Razgrad!P39+Voden!P39</f>
        <v>1869</v>
      </c>
      <c r="Q39" s="161">
        <f>Bujnovci!Q39+Elena!Q39+Bolqrka!Q39+Gorna!Q39+Svishtov!Q39+Rosica!Q39+Gabrovo!Q39+Plachkovci!Q39+Sevlievo!Q39+Bqla!Q39+Dunav_Ruse!Q39+Silistra!Q39+Tutrakan!Q39+Seslav!Q39+Karakuz!Q39+Razgrad!Q39+Voden!Q39</f>
        <v>46747</v>
      </c>
      <c r="R39" s="160" t="s">
        <v>32</v>
      </c>
      <c r="S39" s="163">
        <f>Bujnovci!S39+Elena!S39+Bolqrka!S39+Gorna!S39+Svishtov!S39+Rosica!S39+Gabrovo!S39+Plachkovci!S39+Sevlievo!S39+Bqla!S39+Dunav_Ruse!S39+Silistra!S39+Tutrakan!S39+Seslav!S39+Karakuz!S39+Razgrad!S39+Voden!S39</f>
        <v>837.75999999999988</v>
      </c>
      <c r="T39" s="161">
        <f>Bujnovci!T39+Elena!T39+Bolqrka!T39+Gorna!T39+Svishtov!T39+Rosica!T39+Gabrovo!T39+Plachkovci!T39+Sevlievo!T39+Bqla!T39+Dunav_Ruse!T39+Silistra!T39+Tutrakan!T39+Seslav!T39+Karakuz!T39+Razgrad!T39+Voden!T39</f>
        <v>54075</v>
      </c>
      <c r="U39" s="161">
        <f>Bujnovci!U39+Elena!U39+Bolqrka!U39+Gorna!U39+Svishtov!U39+Rosica!U39+Gabrovo!U39+Plachkovci!U39+Sevlievo!U39+Bqla!U39+Dunav_Ruse!U39+Silistra!U39+Tutrakan!U39+Seslav!U39+Karakuz!U39+Razgrad!U39+Voden!U39</f>
        <v>47984</v>
      </c>
      <c r="V39" s="161">
        <f>Bujnovci!V39+Elena!V39+Bolqrka!V39+Gorna!V39+Svishtov!V39+Rosica!V39+Gabrovo!V39+Plachkovci!V39+Sevlievo!V39+Bqla!V39+Dunav_Ruse!V39+Silistra!V39+Tutrakan!V39+Seslav!V39+Karakuz!V39+Razgrad!V39+Voden!V39</f>
        <v>8596</v>
      </c>
      <c r="W39" s="161">
        <f>Bujnovci!W39+Elena!W39+Bolqrka!W39+Gorna!W39+Svishtov!W39+Rosica!W39+Gabrovo!W39+Plachkovci!W39+Sevlievo!W39+Bqla!W39+Dunav_Ruse!W39+Silistra!W39+Tutrakan!W39+Seslav!W39+Karakuz!W39+Razgrad!W39+Voden!W39</f>
        <v>5459</v>
      </c>
      <c r="X39" s="161">
        <f>Bujnovci!X39+Elena!X39+Bolqrka!X39+Gorna!X39+Svishtov!X39+Rosica!X39+Gabrovo!X39+Plachkovci!X39+Sevlievo!X39+Bqla!X39+Dunav_Ruse!X39+Silistra!X39+Tutrakan!X39+Seslav!X39+Karakuz!X39+Razgrad!X39+Voden!X39</f>
        <v>1011</v>
      </c>
      <c r="Y39" s="161">
        <f>Bujnovci!Y39+Elena!Y39+Bolqrka!Y39+Gorna!Y39+Svishtov!Y39+Rosica!Y39+Gabrovo!Y39+Plachkovci!Y39+Sevlievo!Y39+Bqla!Y39+Dunav_Ruse!Y39+Silistra!Y39+Tutrakan!Y39+Seslav!Y39+Karakuz!Y39+Razgrad!Y39+Voden!Y39</f>
        <v>32918</v>
      </c>
      <c r="AA39" s="160" t="s">
        <v>32</v>
      </c>
      <c r="AB39" s="163">
        <f>Bujnovci!AB39+Elena!AB39+Bolqrka!AB39+Gorna!AB39+Svishtov!AB39+Rosica!AB39+Gabrovo!AB39+Plachkovci!AB39+Sevlievo!AB39+Bqla!AB39+Dunav_Ruse!AB39+Silistra!AB39+Tutrakan!AB39+Seslav!AB39+Karakuz!AB39+Razgrad!AB39+Voden!AB39</f>
        <v>381.56</v>
      </c>
      <c r="AC39" s="161">
        <f>Bujnovci!AC39+Elena!AC39+Bolqrka!AC39+Gorna!AC39+Svishtov!AC39+Rosica!AC39+Gabrovo!AC39+Plachkovci!AC39+Sevlievo!AC39+Bqla!AC39+Dunav_Ruse!AC39+Silistra!AC39+Tutrakan!AC39+Seslav!AC39+Karakuz!AC39+Razgrad!AC39+Voden!AC39</f>
        <v>28363</v>
      </c>
      <c r="AD39" s="161">
        <f>Bujnovci!AD39+Elena!AD39+Bolqrka!AD39+Gorna!AD39+Svishtov!AD39+Rosica!AD39+Gabrovo!AD39+Plachkovci!AD39+Sevlievo!AD39+Bqla!AD39+Dunav_Ruse!AD39+Silistra!AD39+Tutrakan!AD39+Seslav!AD39+Karakuz!AD39+Razgrad!AD39+Voden!AD39</f>
        <v>25463</v>
      </c>
      <c r="AE39" s="161">
        <f>Bujnovci!AE39+Elena!AE39+Bolqrka!AE39+Gorna!AE39+Svishtov!AE39+Rosica!AE39+Gabrovo!AE39+Plachkovci!AE39+Sevlievo!AE39+Bqla!AE39+Dunav_Ruse!AE39+Silistra!AE39+Tutrakan!AE39+Seslav!AE39+Karakuz!AE39+Razgrad!AE39+Voden!AE39</f>
        <v>6249</v>
      </c>
      <c r="AF39" s="161">
        <f>Bujnovci!AF39+Elena!AF39+Bolqrka!AF39+Gorna!AF39+Svishtov!AF39+Rosica!AF39+Gabrovo!AF39+Plachkovci!AF39+Sevlievo!AF39+Bqla!AF39+Dunav_Ruse!AF39+Silistra!AF39+Tutrakan!AF39+Seslav!AF39+Karakuz!AF39+Razgrad!AF39+Voden!AF39</f>
        <v>3144</v>
      </c>
      <c r="AG39" s="161">
        <f>Bujnovci!AG39+Elena!AG39+Bolqrka!AG39+Gorna!AG39+Svishtov!AG39+Rosica!AG39+Gabrovo!AG39+Plachkovci!AG39+Sevlievo!AG39+Bqla!AG39+Dunav_Ruse!AG39+Silistra!AG39+Tutrakan!AG39+Seslav!AG39+Karakuz!AG39+Razgrad!AG39+Voden!AG39</f>
        <v>709</v>
      </c>
      <c r="AH39" s="161">
        <f>Bujnovci!AH39+Elena!AH39+Bolqrka!AH39+Gorna!AH39+Svishtov!AH39+Rosica!AH39+Gabrovo!AH39+Plachkovci!AH39+Sevlievo!AH39+Bqla!AH39+Dunav_Ruse!AH39+Silistra!AH39+Tutrakan!AH39+Seslav!AH39+Karakuz!AH39+Razgrad!AH39+Voden!AH39</f>
        <v>15361</v>
      </c>
      <c r="AI39" s="166"/>
      <c r="AJ39" s="161" t="s">
        <v>32</v>
      </c>
      <c r="AK39" s="163">
        <f>Bujnovci!AK39+Elena!AK39+Bolqrka!AK39+Gorna!AK39+Svishtov!AK39+Rosica!AK39+Gabrovo!AK39+Plachkovci!AK39+Sevlievo!AK39+Bqla!AK39+Dunav_Ruse!AK39+Silistra!AK39+Tutrakan!AK39+Seslav!AK39+Karakuz!AK39+Razgrad!AK39+Voden!AK39</f>
        <v>47.89</v>
      </c>
      <c r="AL39" s="161">
        <f>Bujnovci!AL39+Elena!AL39+Bolqrka!AL39+Gorna!AL39+Svishtov!AL39+Rosica!AL39+Gabrovo!AL39+Plachkovci!AL39+Sevlievo!AL39+Bqla!AL39+Dunav_Ruse!AL39+Silistra!AL39+Tutrakan!AL39+Seslav!AL39+Karakuz!AL39+Razgrad!AL39+Voden!AL39</f>
        <v>2425</v>
      </c>
      <c r="AM39" s="161">
        <f>Bujnovci!AM39+Elena!AM39+Bolqrka!AM39+Gorna!AM39+Svishtov!AM39+Rosica!AM39+Gabrovo!AM39+Plachkovci!AM39+Sevlievo!AM39+Bqla!AM39+Dunav_Ruse!AM39+Silistra!AM39+Tutrakan!AM39+Seslav!AM39+Karakuz!AM39+Razgrad!AM39+Voden!AM39</f>
        <v>2313</v>
      </c>
      <c r="AN39" s="161">
        <f>Bujnovci!AN39+Elena!AN39+Bolqrka!AN39+Gorna!AN39+Svishtov!AN39+Rosica!AN39+Gabrovo!AN39+Plachkovci!AN39+Sevlievo!AN39+Bqla!AN39+Dunav_Ruse!AN39+Silistra!AN39+Tutrakan!AN39+Seslav!AN39+Karakuz!AN39+Razgrad!AN39+Voden!AN39</f>
        <v>320</v>
      </c>
      <c r="AO39" s="161">
        <f>Bujnovci!AO39+Elena!AO39+Bolqrka!AO39+Gorna!AO39+Svishtov!AO39+Rosica!AO39+Gabrovo!AO39+Plachkovci!AO39+Sevlievo!AO39+Bqla!AO39+Dunav_Ruse!AO39+Silistra!AO39+Tutrakan!AO39+Seslav!AO39+Karakuz!AO39+Razgrad!AO39+Voden!AO39</f>
        <v>57</v>
      </c>
      <c r="AP39" s="161">
        <f>Bujnovci!AP39+Elena!AP39+Bolqrka!AP39+Gorna!AP39+Svishtov!AP39+Rosica!AP39+Gabrovo!AP39+Plachkovci!AP39+Sevlievo!AP39+Bqla!AP39+Dunav_Ruse!AP39+Silistra!AP39+Tutrakan!AP39+Seslav!AP39+Karakuz!AP39+Razgrad!AP39+Voden!AP39</f>
        <v>7</v>
      </c>
      <c r="AQ39" s="161">
        <f>Bujnovci!AQ39+Elena!AQ39+Bolqrka!AQ39+Gorna!AQ39+Svishtov!AQ39+Rosica!AQ39+Gabrovo!AQ39+Plachkovci!AQ39+Sevlievo!AQ39+Bqla!AQ39+Dunav_Ruse!AQ39+Silistra!AQ39+Tutrakan!AQ39+Seslav!AQ39+Karakuz!AQ39+Razgrad!AQ39+Voden!AQ39</f>
        <v>1929</v>
      </c>
      <c r="AR39" s="162"/>
      <c r="AS39" s="162"/>
      <c r="AT39" s="155" t="s">
        <v>57</v>
      </c>
    </row>
    <row r="40" spans="1:46" ht="12">
      <c r="A40" s="160" t="s">
        <v>12</v>
      </c>
      <c r="B40" s="161">
        <f t="shared" ref="B40:H40" si="40">B39/B38*100</f>
        <v>85.936413383254759</v>
      </c>
      <c r="C40" s="161">
        <f t="shared" si="40"/>
        <v>113.72995370488785</v>
      </c>
      <c r="D40" s="161">
        <f t="shared" si="40"/>
        <v>122.33417296389588</v>
      </c>
      <c r="E40" s="161">
        <f t="shared" si="40"/>
        <v>127.44836307432908</v>
      </c>
      <c r="F40" s="161">
        <f t="shared" si="40"/>
        <v>70.579858857035163</v>
      </c>
      <c r="G40" s="161">
        <f t="shared" si="40"/>
        <v>56.276803118908383</v>
      </c>
      <c r="H40" s="161">
        <f t="shared" si="40"/>
        <v>150.3967559098659</v>
      </c>
      <c r="J40" s="160" t="s">
        <v>12</v>
      </c>
      <c r="K40" s="161">
        <f t="shared" ref="K40:Q40" si="41">K39/K38*100</f>
        <v>104.65878693206578</v>
      </c>
      <c r="L40" s="161">
        <f t="shared" si="41"/>
        <v>138.70449871929003</v>
      </c>
      <c r="M40" s="161">
        <f t="shared" si="41"/>
        <v>148.8440145883315</v>
      </c>
      <c r="N40" s="161">
        <f t="shared" si="41"/>
        <v>220.40377493728349</v>
      </c>
      <c r="O40" s="161">
        <f t="shared" si="41"/>
        <v>81.836557897776501</v>
      </c>
      <c r="P40" s="161">
        <f t="shared" si="41"/>
        <v>55.983225999700458</v>
      </c>
      <c r="Q40" s="161">
        <f t="shared" si="41"/>
        <v>186.87213927365033</v>
      </c>
      <c r="R40" s="160" t="s">
        <v>12</v>
      </c>
      <c r="S40" s="161">
        <f t="shared" ref="S40:Y40" si="42">S39/S38*100</f>
        <v>73.214769499672258</v>
      </c>
      <c r="T40" s="161">
        <f t="shared" si="42"/>
        <v>91.97992855927879</v>
      </c>
      <c r="U40" s="161">
        <f t="shared" si="42"/>
        <v>98.173969085347764</v>
      </c>
      <c r="V40" s="161">
        <f t="shared" si="42"/>
        <v>86.448433650123192</v>
      </c>
      <c r="W40" s="161">
        <f t="shared" si="42"/>
        <v>56.263849523318733</v>
      </c>
      <c r="X40" s="161">
        <f t="shared" si="42"/>
        <v>61.740458015267173</v>
      </c>
      <c r="Y40" s="161">
        <f t="shared" si="42"/>
        <v>119.6539565991785</v>
      </c>
      <c r="AA40" s="160" t="s">
        <v>12</v>
      </c>
      <c r="AB40" s="161">
        <f t="shared" ref="AB40:AH40" si="43">AB39/AB38*100</f>
        <v>94.422172729522387</v>
      </c>
      <c r="AC40" s="161">
        <f t="shared" si="43"/>
        <v>91.447824474859345</v>
      </c>
      <c r="AD40" s="161">
        <f t="shared" si="43"/>
        <v>73.186364681535991</v>
      </c>
      <c r="AE40" s="161">
        <f t="shared" si="43"/>
        <v>82.87248856176646</v>
      </c>
      <c r="AF40" s="161">
        <f t="shared" si="43"/>
        <v>23.722930657209687</v>
      </c>
      <c r="AG40" s="161">
        <f t="shared" si="43"/>
        <v>106.45645645645645</v>
      </c>
      <c r="AH40" s="161">
        <f t="shared" si="43"/>
        <v>115.75298594627182</v>
      </c>
      <c r="AI40" s="169"/>
      <c r="AJ40" s="200" t="s">
        <v>12</v>
      </c>
      <c r="AK40" s="161">
        <f t="shared" ref="AK40:AQ40" si="44">AK39/AK38*100</f>
        <v>22.66445811642215</v>
      </c>
      <c r="AL40" s="161">
        <f t="shared" si="44"/>
        <v>79.170747633039511</v>
      </c>
      <c r="AM40" s="161">
        <f t="shared" si="44"/>
        <v>100.12987012987014</v>
      </c>
      <c r="AN40" s="161">
        <f t="shared" si="44"/>
        <v>304.76190476190476</v>
      </c>
      <c r="AO40" s="161">
        <f t="shared" si="44"/>
        <v>17.701863354037268</v>
      </c>
      <c r="AP40" s="161">
        <f t="shared" si="44"/>
        <v>4.5454545454545459</v>
      </c>
      <c r="AQ40" s="161">
        <f t="shared" si="44"/>
        <v>111.76129779837775</v>
      </c>
      <c r="AT40" s="155" t="s">
        <v>106</v>
      </c>
    </row>
    <row r="41" spans="1:46" ht="55.5" customHeight="1"/>
    <row r="42" spans="1:46" ht="12">
      <c r="A42" s="170" t="s">
        <v>49</v>
      </c>
      <c r="B42" s="170"/>
      <c r="C42" s="170"/>
      <c r="D42" s="170"/>
      <c r="E42" s="170"/>
      <c r="F42" s="170"/>
      <c r="G42" s="170"/>
      <c r="H42" s="170"/>
    </row>
    <row r="43" spans="1:46" ht="12">
      <c r="A43" s="170" t="s">
        <v>0</v>
      </c>
      <c r="B43" s="170" t="s">
        <v>1</v>
      </c>
      <c r="C43" s="170" t="s">
        <v>2</v>
      </c>
      <c r="D43" s="170" t="s">
        <v>3</v>
      </c>
      <c r="E43" s="170" t="s">
        <v>4</v>
      </c>
      <c r="F43" s="170" t="s">
        <v>5</v>
      </c>
      <c r="G43" s="170" t="s">
        <v>6</v>
      </c>
      <c r="H43" s="170" t="s">
        <v>7</v>
      </c>
    </row>
    <row r="44" spans="1:46" ht="12">
      <c r="A44" s="170"/>
      <c r="B44" s="170" t="s">
        <v>8</v>
      </c>
      <c r="C44" s="170" t="s">
        <v>9</v>
      </c>
      <c r="D44" s="170" t="s">
        <v>10</v>
      </c>
      <c r="E44" s="170" t="s">
        <v>9</v>
      </c>
      <c r="F44" s="170" t="s">
        <v>9</v>
      </c>
      <c r="G44" s="170" t="s">
        <v>9</v>
      </c>
      <c r="H44" s="170" t="s">
        <v>9</v>
      </c>
    </row>
    <row r="45" spans="1:46" ht="12">
      <c r="A45" s="170" t="s">
        <v>17</v>
      </c>
      <c r="B45" s="170"/>
      <c r="C45" s="170"/>
      <c r="D45" s="170"/>
      <c r="E45" s="170"/>
      <c r="F45" s="170"/>
      <c r="G45" s="170"/>
      <c r="H45" s="170"/>
    </row>
    <row r="46" spans="1:46" ht="12">
      <c r="A46" s="170" t="s">
        <v>40</v>
      </c>
      <c r="B46" s="163">
        <f t="shared" ref="B46:H47" si="45">K9+S9+AK9</f>
        <v>11445.159999999998</v>
      </c>
      <c r="C46" s="161">
        <f t="shared" si="45"/>
        <v>648873</v>
      </c>
      <c r="D46" s="161">
        <f t="shared" si="45"/>
        <v>551206.5</v>
      </c>
      <c r="E46" s="161">
        <f t="shared" si="45"/>
        <v>101868</v>
      </c>
      <c r="F46" s="161">
        <f t="shared" si="45"/>
        <v>124767.5</v>
      </c>
      <c r="G46" s="161">
        <f t="shared" si="45"/>
        <v>26828</v>
      </c>
      <c r="H46" s="161">
        <f t="shared" si="45"/>
        <v>296633</v>
      </c>
    </row>
    <row r="47" spans="1:46" ht="12">
      <c r="A47" s="170" t="s">
        <v>50</v>
      </c>
      <c r="B47" s="163">
        <f t="shared" si="45"/>
        <v>10345.972</v>
      </c>
      <c r="C47" s="161">
        <f t="shared" si="45"/>
        <v>599474</v>
      </c>
      <c r="D47" s="161">
        <f t="shared" si="45"/>
        <v>544438</v>
      </c>
      <c r="E47" s="161">
        <f t="shared" si="45"/>
        <v>96084</v>
      </c>
      <c r="F47" s="161">
        <f t="shared" si="45"/>
        <v>83389</v>
      </c>
      <c r="G47" s="161">
        <f t="shared" si="45"/>
        <v>16072</v>
      </c>
      <c r="H47" s="161">
        <f t="shared" si="45"/>
        <v>348893</v>
      </c>
    </row>
    <row r="48" spans="1:46" ht="12">
      <c r="A48" s="170" t="s">
        <v>44</v>
      </c>
      <c r="B48" s="161">
        <f>B47/B46*100</f>
        <v>90.396045140478606</v>
      </c>
      <c r="C48" s="161">
        <f t="shared" ref="C48:H48" si="46">C47/C46*100</f>
        <v>92.386953995620104</v>
      </c>
      <c r="D48" s="161">
        <f t="shared" si="46"/>
        <v>98.772057296131294</v>
      </c>
      <c r="E48" s="161">
        <f t="shared" si="46"/>
        <v>94.322063847331833</v>
      </c>
      <c r="F48" s="161">
        <f t="shared" si="46"/>
        <v>66.835514056144433</v>
      </c>
      <c r="G48" s="161">
        <f t="shared" si="46"/>
        <v>59.907559266438049</v>
      </c>
      <c r="H48" s="161">
        <f t="shared" si="46"/>
        <v>117.61772965246618</v>
      </c>
    </row>
    <row r="49" spans="1:8" ht="12">
      <c r="A49" s="170" t="s">
        <v>11</v>
      </c>
      <c r="B49" s="161"/>
      <c r="C49" s="161"/>
      <c r="D49" s="161"/>
      <c r="E49" s="161"/>
      <c r="F49" s="161"/>
      <c r="G49" s="161"/>
      <c r="H49" s="161"/>
    </row>
    <row r="50" spans="1:8" ht="12">
      <c r="A50" s="170" t="s">
        <v>40</v>
      </c>
      <c r="B50" s="163">
        <f t="shared" ref="B50:H51" si="47">K13+S13+AK13</f>
        <v>962.56999999999994</v>
      </c>
      <c r="C50" s="161">
        <f t="shared" si="47"/>
        <v>62561.5</v>
      </c>
      <c r="D50" s="161">
        <f t="shared" si="47"/>
        <v>47756</v>
      </c>
      <c r="E50" s="161">
        <f t="shared" si="47"/>
        <v>14036</v>
      </c>
      <c r="F50" s="161">
        <f t="shared" si="47"/>
        <v>16973.5</v>
      </c>
      <c r="G50" s="161">
        <f t="shared" si="47"/>
        <v>3543</v>
      </c>
      <c r="H50" s="161">
        <f t="shared" si="47"/>
        <v>13034</v>
      </c>
    </row>
    <row r="51" spans="1:8" ht="12">
      <c r="A51" s="170" t="s">
        <v>50</v>
      </c>
      <c r="B51" s="163">
        <f t="shared" si="47"/>
        <v>990.25000000000023</v>
      </c>
      <c r="C51" s="161">
        <f t="shared" si="47"/>
        <v>64340</v>
      </c>
      <c r="D51" s="161">
        <f t="shared" si="47"/>
        <v>55465</v>
      </c>
      <c r="E51" s="161">
        <f t="shared" si="47"/>
        <v>16965</v>
      </c>
      <c r="F51" s="161">
        <f t="shared" si="47"/>
        <v>8391</v>
      </c>
      <c r="G51" s="161">
        <f t="shared" si="47"/>
        <v>540</v>
      </c>
      <c r="H51" s="161">
        <f t="shared" si="47"/>
        <v>29568</v>
      </c>
    </row>
    <row r="52" spans="1:8" ht="12">
      <c r="A52" s="170" t="s">
        <v>44</v>
      </c>
      <c r="B52" s="161">
        <f t="shared" ref="B52:H52" si="48">B51/B50*100</f>
        <v>102.87563501875192</v>
      </c>
      <c r="C52" s="161">
        <f t="shared" si="48"/>
        <v>102.84280268216075</v>
      </c>
      <c r="D52" s="161">
        <f t="shared" si="48"/>
        <v>116.14247424407405</v>
      </c>
      <c r="E52" s="161">
        <f t="shared" si="48"/>
        <v>120.86776859504131</v>
      </c>
      <c r="F52" s="161">
        <f t="shared" si="48"/>
        <v>49.435885350693724</v>
      </c>
      <c r="G52" s="161">
        <f t="shared" si="48"/>
        <v>15.241320914479257</v>
      </c>
      <c r="H52" s="161">
        <f t="shared" si="48"/>
        <v>226.85284640171858</v>
      </c>
    </row>
    <row r="53" spans="1:8" ht="12">
      <c r="A53" s="170" t="s">
        <v>13</v>
      </c>
      <c r="B53" s="161">
        <f t="shared" ref="B53:H55" si="49">K16+S16+AK16</f>
        <v>472.09999999999991</v>
      </c>
      <c r="C53" s="161">
        <f t="shared" si="49"/>
        <v>28088</v>
      </c>
      <c r="D53" s="161">
        <f t="shared" si="49"/>
        <v>23533</v>
      </c>
      <c r="E53" s="161">
        <f t="shared" si="49"/>
        <v>9266</v>
      </c>
      <c r="F53" s="161">
        <f t="shared" si="49"/>
        <v>4972</v>
      </c>
      <c r="G53" s="161">
        <f t="shared" si="49"/>
        <v>244</v>
      </c>
      <c r="H53" s="161">
        <f t="shared" si="49"/>
        <v>9054</v>
      </c>
    </row>
    <row r="54" spans="1:8" ht="12">
      <c r="A54" s="170" t="s">
        <v>14</v>
      </c>
      <c r="B54" s="161">
        <f t="shared" si="49"/>
        <v>91.6</v>
      </c>
      <c r="C54" s="161">
        <f t="shared" si="49"/>
        <v>8282</v>
      </c>
      <c r="D54" s="161">
        <f t="shared" si="49"/>
        <v>7388</v>
      </c>
      <c r="E54" s="161">
        <f t="shared" si="49"/>
        <v>1741</v>
      </c>
      <c r="F54" s="161">
        <f t="shared" si="49"/>
        <v>881</v>
      </c>
      <c r="G54" s="161">
        <f t="shared" si="49"/>
        <v>232</v>
      </c>
      <c r="H54" s="161">
        <f t="shared" si="49"/>
        <v>4534</v>
      </c>
    </row>
    <row r="55" spans="1:8" ht="12">
      <c r="A55" s="170" t="s">
        <v>15</v>
      </c>
      <c r="B55" s="161">
        <f t="shared" si="49"/>
        <v>4.1499999999999995</v>
      </c>
      <c r="C55" s="161">
        <f t="shared" si="49"/>
        <v>471</v>
      </c>
      <c r="D55" s="161">
        <f t="shared" si="49"/>
        <v>399</v>
      </c>
      <c r="E55" s="161">
        <f t="shared" si="49"/>
        <v>199</v>
      </c>
      <c r="F55" s="161">
        <f t="shared" si="49"/>
        <v>25</v>
      </c>
      <c r="G55" s="161">
        <f t="shared" si="49"/>
        <v>0</v>
      </c>
      <c r="H55" s="161">
        <f t="shared" si="49"/>
        <v>175</v>
      </c>
    </row>
    <row r="56" spans="1:8" ht="12">
      <c r="A56" s="170" t="s">
        <v>16</v>
      </c>
      <c r="B56" s="161"/>
      <c r="C56" s="161"/>
      <c r="D56" s="161"/>
      <c r="E56" s="161"/>
      <c r="F56" s="161"/>
      <c r="G56" s="161"/>
      <c r="H56" s="161"/>
    </row>
    <row r="57" spans="1:8" ht="12">
      <c r="A57" s="170" t="s">
        <v>40</v>
      </c>
      <c r="B57" s="163">
        <f t="shared" ref="B57:H58" si="50">K20+S20+AK20</f>
        <v>10482.290000000001</v>
      </c>
      <c r="C57" s="161">
        <f t="shared" si="50"/>
        <v>586311.5</v>
      </c>
      <c r="D57" s="161">
        <f t="shared" si="50"/>
        <v>503450.5</v>
      </c>
      <c r="E57" s="161">
        <f t="shared" si="50"/>
        <v>87832</v>
      </c>
      <c r="F57" s="161">
        <f t="shared" si="50"/>
        <v>107794</v>
      </c>
      <c r="G57" s="161">
        <f t="shared" si="50"/>
        <v>23285</v>
      </c>
      <c r="H57" s="161">
        <f t="shared" si="50"/>
        <v>283599</v>
      </c>
    </row>
    <row r="58" spans="1:8" ht="12">
      <c r="A58" s="170" t="s">
        <v>50</v>
      </c>
      <c r="B58" s="163">
        <f t="shared" si="50"/>
        <v>9355.7219999999998</v>
      </c>
      <c r="C58" s="161">
        <f t="shared" si="50"/>
        <v>535134</v>
      </c>
      <c r="D58" s="161">
        <f t="shared" si="50"/>
        <v>488973</v>
      </c>
      <c r="E58" s="161">
        <f t="shared" si="50"/>
        <v>79119</v>
      </c>
      <c r="F58" s="161">
        <f t="shared" si="50"/>
        <v>74998</v>
      </c>
      <c r="G58" s="161">
        <f t="shared" si="50"/>
        <v>15532</v>
      </c>
      <c r="H58" s="161">
        <f t="shared" si="50"/>
        <v>319325</v>
      </c>
    </row>
    <row r="59" spans="1:8" ht="12">
      <c r="A59" s="170" t="s">
        <v>44</v>
      </c>
      <c r="B59" s="161">
        <f t="shared" ref="B59:H59" si="51">B58/B57*100</f>
        <v>89.252653761725725</v>
      </c>
      <c r="C59" s="161">
        <f t="shared" si="51"/>
        <v>91.271278151630995</v>
      </c>
      <c r="D59" s="161">
        <f t="shared" si="51"/>
        <v>97.124344895873577</v>
      </c>
      <c r="E59" s="161">
        <f t="shared" si="51"/>
        <v>90.079925311959201</v>
      </c>
      <c r="F59" s="161">
        <f t="shared" si="51"/>
        <v>69.575301037163484</v>
      </c>
      <c r="G59" s="161">
        <f t="shared" si="51"/>
        <v>66.703886622289033</v>
      </c>
      <c r="H59" s="161">
        <f t="shared" si="51"/>
        <v>112.59736458873269</v>
      </c>
    </row>
    <row r="60" spans="1:8" ht="12">
      <c r="A60" s="170" t="s">
        <v>21</v>
      </c>
      <c r="B60" s="163">
        <f t="shared" ref="B60:H61" si="52">K23+S23+AK23</f>
        <v>1788.1599999999999</v>
      </c>
      <c r="C60" s="161">
        <f t="shared" si="52"/>
        <v>102763</v>
      </c>
      <c r="D60" s="161">
        <f t="shared" si="52"/>
        <v>86136</v>
      </c>
      <c r="E60" s="161">
        <f t="shared" si="52"/>
        <v>21456</v>
      </c>
      <c r="F60" s="161">
        <f t="shared" si="52"/>
        <v>10287.5</v>
      </c>
      <c r="G60" s="161">
        <f t="shared" si="52"/>
        <v>2673</v>
      </c>
      <c r="H60" s="161">
        <f t="shared" si="52"/>
        <v>51535.5</v>
      </c>
    </row>
    <row r="61" spans="1:8" ht="12">
      <c r="A61" s="170" t="s">
        <v>51</v>
      </c>
      <c r="B61" s="163">
        <f t="shared" si="52"/>
        <v>1534.0719999999999</v>
      </c>
      <c r="C61" s="161">
        <f t="shared" si="52"/>
        <v>75271</v>
      </c>
      <c r="D61" s="161">
        <f t="shared" si="52"/>
        <v>67952</v>
      </c>
      <c r="E61" s="161">
        <f t="shared" si="52"/>
        <v>11960</v>
      </c>
      <c r="F61" s="161">
        <f t="shared" si="52"/>
        <v>3778</v>
      </c>
      <c r="G61" s="161">
        <f t="shared" si="52"/>
        <v>662</v>
      </c>
      <c r="H61" s="161">
        <f t="shared" si="52"/>
        <v>51552</v>
      </c>
    </row>
    <row r="62" spans="1:8" ht="12">
      <c r="A62" s="170" t="s">
        <v>12</v>
      </c>
      <c r="B62" s="161">
        <f t="shared" ref="B62:H62" si="53">B61/B60*100</f>
        <v>85.790533285612028</v>
      </c>
      <c r="C62" s="161">
        <f t="shared" si="53"/>
        <v>73.247180405398822</v>
      </c>
      <c r="D62" s="161">
        <f t="shared" si="53"/>
        <v>78.889198476827332</v>
      </c>
      <c r="E62" s="161">
        <f t="shared" si="53"/>
        <v>55.741983594332588</v>
      </c>
      <c r="F62" s="161">
        <f t="shared" si="53"/>
        <v>36.724179829890645</v>
      </c>
      <c r="G62" s="161">
        <f t="shared" si="53"/>
        <v>24.766180321735877</v>
      </c>
      <c r="H62" s="161">
        <f t="shared" si="53"/>
        <v>100.03201676514249</v>
      </c>
    </row>
    <row r="63" spans="1:8" ht="12">
      <c r="A63" s="170" t="s">
        <v>23</v>
      </c>
      <c r="B63" s="163">
        <f t="shared" ref="B63:H64" si="54">K26+S26+AK26</f>
        <v>976.38</v>
      </c>
      <c r="C63" s="161">
        <f t="shared" si="54"/>
        <v>42932</v>
      </c>
      <c r="D63" s="161">
        <f t="shared" si="54"/>
        <v>37244.5</v>
      </c>
      <c r="E63" s="161">
        <f t="shared" si="54"/>
        <v>3293.5</v>
      </c>
      <c r="F63" s="161">
        <f t="shared" si="54"/>
        <v>7472</v>
      </c>
      <c r="G63" s="161">
        <f t="shared" si="54"/>
        <v>1304.5</v>
      </c>
      <c r="H63" s="161">
        <f t="shared" si="54"/>
        <v>25108.5</v>
      </c>
    </row>
    <row r="64" spans="1:8" ht="12">
      <c r="A64" s="170" t="s">
        <v>45</v>
      </c>
      <c r="B64" s="163">
        <f t="shared" si="54"/>
        <v>960.52</v>
      </c>
      <c r="C64" s="161">
        <f t="shared" si="54"/>
        <v>37331</v>
      </c>
      <c r="D64" s="161">
        <f t="shared" si="54"/>
        <v>33441</v>
      </c>
      <c r="E64" s="161">
        <f t="shared" si="54"/>
        <v>3667</v>
      </c>
      <c r="F64" s="161">
        <f t="shared" si="54"/>
        <v>4369</v>
      </c>
      <c r="G64" s="161">
        <f t="shared" si="54"/>
        <v>584</v>
      </c>
      <c r="H64" s="161">
        <f t="shared" si="54"/>
        <v>24821</v>
      </c>
    </row>
    <row r="65" spans="1:8" ht="12">
      <c r="A65" s="170" t="s">
        <v>12</v>
      </c>
      <c r="B65" s="161">
        <f t="shared" ref="B65:H65" si="55">B64/B63*100</f>
        <v>98.375632438190053</v>
      </c>
      <c r="C65" s="161">
        <f t="shared" si="55"/>
        <v>86.953787384701386</v>
      </c>
      <c r="D65" s="161">
        <f t="shared" si="55"/>
        <v>89.78775389654848</v>
      </c>
      <c r="E65" s="161">
        <f t="shared" si="55"/>
        <v>111.3405192044937</v>
      </c>
      <c r="F65" s="161">
        <f t="shared" si="55"/>
        <v>58.471627408993577</v>
      </c>
      <c r="G65" s="161">
        <f t="shared" si="55"/>
        <v>44.768110387121503</v>
      </c>
      <c r="H65" s="161">
        <f t="shared" si="55"/>
        <v>98.854969432662244</v>
      </c>
    </row>
    <row r="66" spans="1:8" ht="12">
      <c r="A66" s="170" t="s">
        <v>25</v>
      </c>
      <c r="B66" s="163">
        <f t="shared" ref="B66:H67" si="56">K29+S29+AK29</f>
        <v>2883.1200000000003</v>
      </c>
      <c r="C66" s="161">
        <f t="shared" si="56"/>
        <v>123882</v>
      </c>
      <c r="D66" s="161">
        <f t="shared" si="56"/>
        <v>108237</v>
      </c>
      <c r="E66" s="161">
        <f t="shared" si="56"/>
        <v>9562</v>
      </c>
      <c r="F66" s="161">
        <f t="shared" si="56"/>
        <v>21433.5</v>
      </c>
      <c r="G66" s="161">
        <f t="shared" si="56"/>
        <v>2603.5</v>
      </c>
      <c r="H66" s="161">
        <f t="shared" si="56"/>
        <v>74241</v>
      </c>
    </row>
    <row r="67" spans="1:8" ht="12">
      <c r="A67" s="170" t="s">
        <v>46</v>
      </c>
      <c r="B67" s="163">
        <f t="shared" si="56"/>
        <v>2666.73</v>
      </c>
      <c r="C67" s="161">
        <f t="shared" si="56"/>
        <v>115800</v>
      </c>
      <c r="D67" s="161">
        <f t="shared" si="56"/>
        <v>107578</v>
      </c>
      <c r="E67" s="161">
        <f t="shared" si="56"/>
        <v>17770</v>
      </c>
      <c r="F67" s="161">
        <f t="shared" si="56"/>
        <v>9775</v>
      </c>
      <c r="G67" s="161">
        <f t="shared" si="56"/>
        <v>1450</v>
      </c>
      <c r="H67" s="161">
        <f t="shared" si="56"/>
        <v>78583</v>
      </c>
    </row>
    <row r="68" spans="1:8" ht="12">
      <c r="A68" s="170" t="s">
        <v>12</v>
      </c>
      <c r="B68" s="161">
        <f t="shared" ref="B68:H68" si="57">B67/B66*100</f>
        <v>92.494589195038699</v>
      </c>
      <c r="C68" s="161">
        <f t="shared" si="57"/>
        <v>93.476049789315638</v>
      </c>
      <c r="D68" s="161">
        <f t="shared" si="57"/>
        <v>99.391150900339071</v>
      </c>
      <c r="E68" s="161">
        <f t="shared" si="57"/>
        <v>185.83978247228615</v>
      </c>
      <c r="F68" s="161">
        <f t="shared" si="57"/>
        <v>45.606177245900106</v>
      </c>
      <c r="G68" s="161">
        <f t="shared" si="57"/>
        <v>55.694257729978879</v>
      </c>
      <c r="H68" s="161">
        <f t="shared" si="57"/>
        <v>105.84852035937016</v>
      </c>
    </row>
    <row r="69" spans="1:8" ht="12">
      <c r="A69" s="170" t="s">
        <v>27</v>
      </c>
      <c r="B69" s="163">
        <f t="shared" ref="B69:H70" si="58">K32+S32+AK32</f>
        <v>236.60999999999996</v>
      </c>
      <c r="C69" s="161">
        <f t="shared" si="58"/>
        <v>55861</v>
      </c>
      <c r="D69" s="161">
        <f t="shared" si="58"/>
        <v>49765.5</v>
      </c>
      <c r="E69" s="161">
        <f t="shared" si="58"/>
        <v>33520.5</v>
      </c>
      <c r="F69" s="161">
        <f t="shared" si="58"/>
        <v>8818</v>
      </c>
      <c r="G69" s="161">
        <f t="shared" si="58"/>
        <v>1158</v>
      </c>
      <c r="H69" s="161">
        <f t="shared" si="58"/>
        <v>6265.5</v>
      </c>
    </row>
    <row r="70" spans="1:8" ht="12">
      <c r="A70" s="170" t="s">
        <v>47</v>
      </c>
      <c r="B70" s="163">
        <f t="shared" si="58"/>
        <v>126.30000000000001</v>
      </c>
      <c r="C70" s="161">
        <f t="shared" si="58"/>
        <v>31673</v>
      </c>
      <c r="D70" s="161">
        <f t="shared" si="58"/>
        <v>30836</v>
      </c>
      <c r="E70" s="161">
        <f t="shared" si="58"/>
        <v>22643</v>
      </c>
      <c r="F70" s="161">
        <f t="shared" si="58"/>
        <v>4333</v>
      </c>
      <c r="G70" s="161">
        <f t="shared" si="58"/>
        <v>748</v>
      </c>
      <c r="H70" s="161">
        <f t="shared" si="58"/>
        <v>3112</v>
      </c>
    </row>
    <row r="71" spans="1:8" ht="12">
      <c r="A71" s="170" t="s">
        <v>12</v>
      </c>
      <c r="B71" s="161">
        <f t="shared" ref="B71:H71" si="59">B70/B69*100</f>
        <v>53.378978065170543</v>
      </c>
      <c r="C71" s="161">
        <f t="shared" si="59"/>
        <v>56.699665240507692</v>
      </c>
      <c r="D71" s="161">
        <f t="shared" si="59"/>
        <v>61.962604615647386</v>
      </c>
      <c r="E71" s="161">
        <f t="shared" si="59"/>
        <v>67.549708387404735</v>
      </c>
      <c r="F71" s="161">
        <f t="shared" si="59"/>
        <v>49.1381265593105</v>
      </c>
      <c r="G71" s="161">
        <f t="shared" si="59"/>
        <v>64.594127806563037</v>
      </c>
      <c r="H71" s="161">
        <f t="shared" si="59"/>
        <v>49.668821323118664</v>
      </c>
    </row>
    <row r="72" spans="1:8" ht="12">
      <c r="A72" s="170" t="s">
        <v>29</v>
      </c>
      <c r="B72" s="163">
        <f t="shared" ref="B72:H73" si="60">K35+S35+AK35</f>
        <v>1750.8800000000003</v>
      </c>
      <c r="C72" s="161">
        <f t="shared" si="60"/>
        <v>143582.5</v>
      </c>
      <c r="D72" s="161">
        <f t="shared" si="60"/>
        <v>124405.5</v>
      </c>
      <c r="E72" s="161">
        <f t="shared" si="60"/>
        <v>5766</v>
      </c>
      <c r="F72" s="161">
        <f t="shared" si="60"/>
        <v>35906.5</v>
      </c>
      <c r="G72" s="161">
        <f t="shared" si="60"/>
        <v>10416</v>
      </c>
      <c r="H72" s="161">
        <f t="shared" si="60"/>
        <v>72196</v>
      </c>
    </row>
    <row r="73" spans="1:8" ht="12">
      <c r="A73" s="170" t="s">
        <v>48</v>
      </c>
      <c r="B73" s="163">
        <f t="shared" si="60"/>
        <v>1621.37</v>
      </c>
      <c r="C73" s="161">
        <f t="shared" si="60"/>
        <v>141664</v>
      </c>
      <c r="D73" s="161">
        <f t="shared" si="60"/>
        <v>129693</v>
      </c>
      <c r="E73" s="161">
        <f t="shared" si="60"/>
        <v>4938</v>
      </c>
      <c r="F73" s="161">
        <f t="shared" si="60"/>
        <v>35891</v>
      </c>
      <c r="G73" s="161">
        <f t="shared" si="60"/>
        <v>9201</v>
      </c>
      <c r="H73" s="161">
        <f t="shared" si="60"/>
        <v>79663</v>
      </c>
    </row>
    <row r="74" spans="1:8" ht="12">
      <c r="A74" s="170" t="s">
        <v>12</v>
      </c>
      <c r="B74" s="161">
        <f t="shared" ref="B74:H74" si="61">B73/B72*100</f>
        <v>92.603148131225424</v>
      </c>
      <c r="C74" s="161">
        <f t="shared" si="61"/>
        <v>98.663834380930822</v>
      </c>
      <c r="D74" s="161">
        <f t="shared" si="61"/>
        <v>104.25021401786898</v>
      </c>
      <c r="E74" s="161">
        <f t="shared" si="61"/>
        <v>85.639958376690956</v>
      </c>
      <c r="F74" s="161">
        <f t="shared" si="61"/>
        <v>99.95683232840851</v>
      </c>
      <c r="G74" s="161">
        <f t="shared" si="61"/>
        <v>88.335253456221196</v>
      </c>
      <c r="H74" s="161">
        <f t="shared" si="61"/>
        <v>110.34267826472382</v>
      </c>
    </row>
    <row r="75" spans="1:8" ht="12">
      <c r="A75" s="170" t="s">
        <v>31</v>
      </c>
      <c r="B75" s="163">
        <f t="shared" ref="B75:H76" si="62">K38+S38+AK38</f>
        <v>2847.1400000000003</v>
      </c>
      <c r="C75" s="161">
        <f t="shared" si="62"/>
        <v>117291</v>
      </c>
      <c r="D75" s="161">
        <f t="shared" si="62"/>
        <v>97662</v>
      </c>
      <c r="E75" s="161">
        <f t="shared" si="62"/>
        <v>14234</v>
      </c>
      <c r="F75" s="161">
        <f t="shared" si="62"/>
        <v>23876.5</v>
      </c>
      <c r="G75" s="161">
        <f t="shared" si="62"/>
        <v>5130</v>
      </c>
      <c r="H75" s="161">
        <f t="shared" si="62"/>
        <v>54252.5</v>
      </c>
    </row>
    <row r="76" spans="1:8" ht="12">
      <c r="A76" s="170" t="s">
        <v>52</v>
      </c>
      <c r="B76" s="163">
        <f t="shared" si="62"/>
        <v>2446.7299999999996</v>
      </c>
      <c r="C76" s="161">
        <f t="shared" si="62"/>
        <v>133395</v>
      </c>
      <c r="D76" s="161">
        <f t="shared" si="62"/>
        <v>119473</v>
      </c>
      <c r="E76" s="161">
        <f t="shared" si="62"/>
        <v>18141</v>
      </c>
      <c r="F76" s="161">
        <f t="shared" si="62"/>
        <v>16852</v>
      </c>
      <c r="G76" s="161">
        <f t="shared" si="62"/>
        <v>2887</v>
      </c>
      <c r="H76" s="161">
        <f t="shared" si="62"/>
        <v>81594</v>
      </c>
    </row>
    <row r="77" spans="1:8" ht="12">
      <c r="A77" s="170" t="s">
        <v>12</v>
      </c>
      <c r="B77" s="161">
        <f t="shared" ref="B77:H77" si="63">B76/B75*100</f>
        <v>85.936413383254745</v>
      </c>
      <c r="C77" s="161">
        <f t="shared" si="63"/>
        <v>113.72995370488785</v>
      </c>
      <c r="D77" s="161">
        <f t="shared" si="63"/>
        <v>122.33314902418546</v>
      </c>
      <c r="E77" s="161">
        <f t="shared" si="63"/>
        <v>127.44836307432908</v>
      </c>
      <c r="F77" s="161">
        <f t="shared" si="63"/>
        <v>70.579858857035163</v>
      </c>
      <c r="G77" s="161">
        <f t="shared" si="63"/>
        <v>56.276803118908383</v>
      </c>
      <c r="H77" s="161">
        <f t="shared" si="63"/>
        <v>150.3967559098659</v>
      </c>
    </row>
    <row r="80" spans="1:8">
      <c r="A80" s="155" t="s">
        <v>0</v>
      </c>
      <c r="B80" s="155" t="s">
        <v>1</v>
      </c>
      <c r="C80" s="155" t="s">
        <v>2</v>
      </c>
      <c r="D80" s="155" t="s">
        <v>3</v>
      </c>
      <c r="E80" s="155" t="s">
        <v>4</v>
      </c>
      <c r="F80" s="155" t="s">
        <v>5</v>
      </c>
      <c r="G80" s="155" t="s">
        <v>6</v>
      </c>
      <c r="H80" s="155" t="s">
        <v>7</v>
      </c>
    </row>
    <row r="81" spans="1:8">
      <c r="B81" s="155" t="s">
        <v>8</v>
      </c>
      <c r="C81" s="155" t="s">
        <v>9</v>
      </c>
      <c r="D81" s="155" t="s">
        <v>10</v>
      </c>
      <c r="E81" s="155" t="s">
        <v>9</v>
      </c>
      <c r="F81" s="155" t="s">
        <v>9</v>
      </c>
      <c r="G81" s="155" t="s">
        <v>9</v>
      </c>
      <c r="H81" s="155" t="s">
        <v>9</v>
      </c>
    </row>
    <row r="82" spans="1:8">
      <c r="A82" s="155" t="s">
        <v>17</v>
      </c>
    </row>
    <row r="83" spans="1:8">
      <c r="A83" s="155" t="s">
        <v>40</v>
      </c>
      <c r="B83" s="155">
        <f t="shared" ref="B83:H98" si="64">B9-B46</f>
        <v>-0.29999999999745341</v>
      </c>
      <c r="C83" s="155">
        <f t="shared" si="64"/>
        <v>0</v>
      </c>
      <c r="D83" s="155">
        <f t="shared" si="64"/>
        <v>0</v>
      </c>
      <c r="E83" s="155">
        <f t="shared" si="64"/>
        <v>0</v>
      </c>
      <c r="F83" s="155">
        <f t="shared" si="64"/>
        <v>0</v>
      </c>
      <c r="G83" s="155">
        <f t="shared" si="64"/>
        <v>0</v>
      </c>
      <c r="H83" s="155">
        <f t="shared" si="64"/>
        <v>0</v>
      </c>
    </row>
    <row r="84" spans="1:8">
      <c r="A84" s="155" t="s">
        <v>50</v>
      </c>
      <c r="B84" s="155">
        <f t="shared" si="64"/>
        <v>0</v>
      </c>
      <c r="C84" s="155">
        <f t="shared" si="64"/>
        <v>0</v>
      </c>
      <c r="D84" s="155">
        <f t="shared" si="64"/>
        <v>0</v>
      </c>
      <c r="E84" s="155">
        <f t="shared" si="64"/>
        <v>0</v>
      </c>
      <c r="F84" s="155">
        <f t="shared" si="64"/>
        <v>0</v>
      </c>
      <c r="G84" s="155">
        <f t="shared" si="64"/>
        <v>0</v>
      </c>
      <c r="H84" s="155">
        <f t="shared" si="64"/>
        <v>0</v>
      </c>
    </row>
    <row r="85" spans="1:8">
      <c r="A85" s="155" t="s">
        <v>44</v>
      </c>
      <c r="B85" s="155">
        <f t="shared" si="64"/>
        <v>2.3695190279227063E-3</v>
      </c>
      <c r="C85" s="162">
        <f t="shared" si="64"/>
        <v>0</v>
      </c>
      <c r="D85" s="155">
        <f t="shared" si="64"/>
        <v>0</v>
      </c>
      <c r="E85" s="155">
        <f t="shared" si="64"/>
        <v>0</v>
      </c>
      <c r="F85" s="155">
        <f t="shared" si="64"/>
        <v>0</v>
      </c>
      <c r="G85" s="155">
        <f t="shared" si="64"/>
        <v>0</v>
      </c>
      <c r="H85" s="155">
        <f t="shared" si="64"/>
        <v>0</v>
      </c>
    </row>
    <row r="86" spans="1:8">
      <c r="A86" s="155" t="s">
        <v>11</v>
      </c>
      <c r="B86" s="155">
        <f t="shared" si="64"/>
        <v>0</v>
      </c>
      <c r="C86" s="155">
        <f t="shared" si="64"/>
        <v>0</v>
      </c>
      <c r="D86" s="155">
        <f t="shared" si="64"/>
        <v>0</v>
      </c>
      <c r="E86" s="155">
        <f t="shared" si="64"/>
        <v>0</v>
      </c>
      <c r="F86" s="155">
        <f t="shared" si="64"/>
        <v>0</v>
      </c>
      <c r="G86" s="155">
        <f t="shared" si="64"/>
        <v>0</v>
      </c>
      <c r="H86" s="155">
        <f t="shared" si="64"/>
        <v>0</v>
      </c>
    </row>
    <row r="87" spans="1:8">
      <c r="A87" s="155" t="s">
        <v>40</v>
      </c>
      <c r="B87" s="155">
        <f t="shared" si="64"/>
        <v>0</v>
      </c>
      <c r="C87" s="155">
        <f t="shared" si="64"/>
        <v>0</v>
      </c>
      <c r="D87" s="155">
        <f t="shared" si="64"/>
        <v>0</v>
      </c>
      <c r="E87" s="155">
        <f t="shared" si="64"/>
        <v>0</v>
      </c>
      <c r="F87" s="155">
        <f t="shared" si="64"/>
        <v>0</v>
      </c>
      <c r="G87" s="155">
        <f t="shared" si="64"/>
        <v>0</v>
      </c>
      <c r="H87" s="155">
        <f t="shared" si="64"/>
        <v>0</v>
      </c>
    </row>
    <row r="88" spans="1:8">
      <c r="A88" s="155" t="s">
        <v>50</v>
      </c>
      <c r="B88" s="155">
        <f t="shared" si="64"/>
        <v>0</v>
      </c>
      <c r="C88" s="155">
        <f t="shared" si="64"/>
        <v>0</v>
      </c>
      <c r="D88" s="155">
        <f t="shared" si="64"/>
        <v>-1</v>
      </c>
      <c r="E88" s="155">
        <f t="shared" si="64"/>
        <v>0</v>
      </c>
      <c r="F88" s="155">
        <f t="shared" si="64"/>
        <v>0</v>
      </c>
      <c r="G88" s="155">
        <f t="shared" si="64"/>
        <v>0</v>
      </c>
      <c r="H88" s="155">
        <f t="shared" si="64"/>
        <v>0</v>
      </c>
    </row>
    <row r="89" spans="1:8">
      <c r="A89" s="155" t="s">
        <v>44</v>
      </c>
      <c r="B89" s="155">
        <f t="shared" si="64"/>
        <v>0</v>
      </c>
      <c r="C89" s="155">
        <f t="shared" si="64"/>
        <v>0</v>
      </c>
      <c r="D89" s="155">
        <f t="shared" si="64"/>
        <v>-2.093977720093676E-3</v>
      </c>
      <c r="E89" s="155">
        <f t="shared" si="64"/>
        <v>0</v>
      </c>
      <c r="F89" s="155">
        <f t="shared" si="64"/>
        <v>0</v>
      </c>
      <c r="G89" s="155">
        <f t="shared" si="64"/>
        <v>0</v>
      </c>
      <c r="H89" s="155">
        <f t="shared" si="64"/>
        <v>0</v>
      </c>
    </row>
    <row r="90" spans="1:8">
      <c r="A90" s="155" t="s">
        <v>13</v>
      </c>
      <c r="B90" s="155">
        <f t="shared" si="64"/>
        <v>0</v>
      </c>
      <c r="C90" s="155">
        <f t="shared" si="64"/>
        <v>0</v>
      </c>
      <c r="D90" s="155">
        <f t="shared" si="64"/>
        <v>3</v>
      </c>
      <c r="E90" s="155">
        <f t="shared" si="64"/>
        <v>0</v>
      </c>
      <c r="F90" s="155">
        <f t="shared" si="64"/>
        <v>0</v>
      </c>
      <c r="G90" s="155">
        <f t="shared" si="64"/>
        <v>0</v>
      </c>
      <c r="H90" s="155">
        <f t="shared" si="64"/>
        <v>0</v>
      </c>
    </row>
    <row r="91" spans="1:8">
      <c r="A91" s="155" t="s">
        <v>14</v>
      </c>
      <c r="B91" s="155">
        <f t="shared" si="64"/>
        <v>0</v>
      </c>
      <c r="C91" s="155">
        <f t="shared" si="64"/>
        <v>0</v>
      </c>
      <c r="D91" s="155">
        <f t="shared" si="64"/>
        <v>0</v>
      </c>
      <c r="E91" s="155">
        <f t="shared" si="64"/>
        <v>0</v>
      </c>
      <c r="F91" s="155">
        <f t="shared" si="64"/>
        <v>0</v>
      </c>
      <c r="G91" s="155">
        <f t="shared" si="64"/>
        <v>0</v>
      </c>
      <c r="H91" s="155">
        <f t="shared" si="64"/>
        <v>0</v>
      </c>
    </row>
    <row r="92" spans="1:8">
      <c r="A92" s="155" t="s">
        <v>15</v>
      </c>
      <c r="B92" s="155">
        <f>B18-B55</f>
        <v>0</v>
      </c>
      <c r="C92" s="155">
        <f t="shared" si="64"/>
        <v>0</v>
      </c>
      <c r="D92" s="155">
        <f t="shared" si="64"/>
        <v>0</v>
      </c>
      <c r="E92" s="155">
        <f t="shared" si="64"/>
        <v>0</v>
      </c>
      <c r="F92" s="155">
        <f t="shared" si="64"/>
        <v>0</v>
      </c>
      <c r="G92" s="155">
        <f t="shared" si="64"/>
        <v>0</v>
      </c>
      <c r="H92" s="155">
        <f t="shared" si="64"/>
        <v>0</v>
      </c>
    </row>
    <row r="93" spans="1:8">
      <c r="A93" s="155" t="s">
        <v>16</v>
      </c>
      <c r="B93" s="155">
        <f>B19-B56</f>
        <v>0</v>
      </c>
      <c r="C93" s="155">
        <f t="shared" si="64"/>
        <v>0</v>
      </c>
      <c r="D93" s="155">
        <f t="shared" si="64"/>
        <v>0</v>
      </c>
      <c r="E93" s="155">
        <f t="shared" si="64"/>
        <v>0</v>
      </c>
      <c r="F93" s="155">
        <f t="shared" si="64"/>
        <v>0</v>
      </c>
      <c r="G93" s="155">
        <f t="shared" si="64"/>
        <v>0</v>
      </c>
      <c r="H93" s="155">
        <f t="shared" si="64"/>
        <v>0</v>
      </c>
    </row>
    <row r="94" spans="1:8">
      <c r="A94" s="155" t="s">
        <v>40</v>
      </c>
      <c r="B94" s="155">
        <f t="shared" si="64"/>
        <v>0</v>
      </c>
      <c r="C94" s="155">
        <f t="shared" si="64"/>
        <v>0</v>
      </c>
      <c r="D94" s="155">
        <f t="shared" si="64"/>
        <v>0</v>
      </c>
      <c r="E94" s="155">
        <f t="shared" si="64"/>
        <v>0</v>
      </c>
      <c r="F94" s="155">
        <f t="shared" si="64"/>
        <v>0</v>
      </c>
      <c r="G94" s="155">
        <f t="shared" si="64"/>
        <v>0</v>
      </c>
      <c r="H94" s="155">
        <f t="shared" si="64"/>
        <v>0</v>
      </c>
    </row>
    <row r="95" spans="1:8">
      <c r="A95" s="155" t="s">
        <v>50</v>
      </c>
      <c r="B95" s="155">
        <f t="shared" si="64"/>
        <v>0</v>
      </c>
      <c r="C95" s="155">
        <f t="shared" si="64"/>
        <v>0</v>
      </c>
      <c r="D95" s="155">
        <f t="shared" si="64"/>
        <v>1</v>
      </c>
      <c r="E95" s="155">
        <f t="shared" si="64"/>
        <v>0</v>
      </c>
      <c r="F95" s="155">
        <f t="shared" si="64"/>
        <v>0</v>
      </c>
      <c r="G95" s="155">
        <f t="shared" si="64"/>
        <v>0</v>
      </c>
      <c r="H95" s="155">
        <f t="shared" si="64"/>
        <v>0</v>
      </c>
    </row>
    <row r="96" spans="1:8">
      <c r="A96" s="155" t="s">
        <v>44</v>
      </c>
      <c r="B96" s="155">
        <f t="shared" si="64"/>
        <v>0</v>
      </c>
      <c r="C96" s="162">
        <f t="shared" si="64"/>
        <v>0</v>
      </c>
      <c r="D96" s="155">
        <f t="shared" si="64"/>
        <v>1.986292594722272E-4</v>
      </c>
      <c r="E96" s="155">
        <f t="shared" si="64"/>
        <v>0</v>
      </c>
      <c r="F96" s="155">
        <f t="shared" si="64"/>
        <v>0</v>
      </c>
      <c r="G96" s="155">
        <f t="shared" si="64"/>
        <v>0</v>
      </c>
      <c r="H96" s="155">
        <f t="shared" si="64"/>
        <v>0</v>
      </c>
    </row>
    <row r="97" spans="1:8">
      <c r="A97" s="155" t="s">
        <v>21</v>
      </c>
      <c r="B97" s="155">
        <f t="shared" si="64"/>
        <v>0</v>
      </c>
      <c r="C97" s="155">
        <f t="shared" si="64"/>
        <v>0</v>
      </c>
      <c r="D97" s="155">
        <f t="shared" si="64"/>
        <v>0</v>
      </c>
      <c r="E97" s="155">
        <f t="shared" si="64"/>
        <v>0</v>
      </c>
      <c r="F97" s="155">
        <f t="shared" si="64"/>
        <v>0</v>
      </c>
      <c r="G97" s="155">
        <f t="shared" si="64"/>
        <v>0</v>
      </c>
      <c r="H97" s="155">
        <f t="shared" si="64"/>
        <v>0</v>
      </c>
    </row>
    <row r="98" spans="1:8">
      <c r="A98" s="155" t="s">
        <v>51</v>
      </c>
      <c r="B98" s="155">
        <f t="shared" si="64"/>
        <v>0</v>
      </c>
      <c r="C98" s="155">
        <f t="shared" si="64"/>
        <v>0</v>
      </c>
      <c r="D98" s="155">
        <f t="shared" si="64"/>
        <v>0</v>
      </c>
      <c r="E98" s="155">
        <f t="shared" si="64"/>
        <v>0</v>
      </c>
      <c r="F98" s="155">
        <f t="shared" si="64"/>
        <v>0</v>
      </c>
      <c r="G98" s="155">
        <f t="shared" si="64"/>
        <v>0</v>
      </c>
      <c r="H98" s="155">
        <f t="shared" si="64"/>
        <v>0</v>
      </c>
    </row>
    <row r="99" spans="1:8">
      <c r="A99" s="155" t="s">
        <v>12</v>
      </c>
      <c r="B99" s="155">
        <f t="shared" ref="B99:H114" si="65">B25-B62</f>
        <v>0</v>
      </c>
      <c r="C99" s="155">
        <f t="shared" si="65"/>
        <v>0</v>
      </c>
      <c r="D99" s="155">
        <f t="shared" si="65"/>
        <v>0</v>
      </c>
      <c r="E99" s="155">
        <f t="shared" si="65"/>
        <v>0</v>
      </c>
      <c r="F99" s="155">
        <f t="shared" si="65"/>
        <v>0</v>
      </c>
      <c r="G99" s="155">
        <f t="shared" si="65"/>
        <v>0</v>
      </c>
      <c r="H99" s="155">
        <f t="shared" si="65"/>
        <v>0</v>
      </c>
    </row>
    <row r="100" spans="1:8">
      <c r="A100" s="155" t="s">
        <v>23</v>
      </c>
      <c r="B100" s="155">
        <f t="shared" si="65"/>
        <v>0</v>
      </c>
      <c r="C100" s="155">
        <f t="shared" si="65"/>
        <v>0</v>
      </c>
      <c r="D100" s="155">
        <f t="shared" si="65"/>
        <v>0</v>
      </c>
      <c r="E100" s="155">
        <f t="shared" si="65"/>
        <v>0</v>
      </c>
      <c r="F100" s="155">
        <f t="shared" si="65"/>
        <v>0</v>
      </c>
      <c r="G100" s="155">
        <f t="shared" si="65"/>
        <v>0</v>
      </c>
      <c r="H100" s="155">
        <f t="shared" si="65"/>
        <v>0</v>
      </c>
    </row>
    <row r="101" spans="1:8">
      <c r="A101" s="155" t="s">
        <v>45</v>
      </c>
      <c r="B101" s="155">
        <f t="shared" si="65"/>
        <v>0</v>
      </c>
      <c r="C101" s="155">
        <f t="shared" si="65"/>
        <v>0</v>
      </c>
      <c r="D101" s="155">
        <f t="shared" si="65"/>
        <v>0</v>
      </c>
      <c r="E101" s="155">
        <f t="shared" si="65"/>
        <v>0</v>
      </c>
      <c r="F101" s="155">
        <f t="shared" si="65"/>
        <v>0</v>
      </c>
      <c r="G101" s="155">
        <f t="shared" si="65"/>
        <v>0</v>
      </c>
      <c r="H101" s="155">
        <f t="shared" si="65"/>
        <v>0</v>
      </c>
    </row>
    <row r="102" spans="1:8">
      <c r="A102" s="155" t="s">
        <v>12</v>
      </c>
      <c r="B102" s="155">
        <f t="shared" si="65"/>
        <v>0</v>
      </c>
      <c r="C102" s="155">
        <f t="shared" si="65"/>
        <v>0</v>
      </c>
      <c r="D102" s="155">
        <f t="shared" si="65"/>
        <v>0</v>
      </c>
      <c r="E102" s="155">
        <f t="shared" si="65"/>
        <v>0</v>
      </c>
      <c r="F102" s="155">
        <f t="shared" si="65"/>
        <v>0</v>
      </c>
      <c r="G102" s="155">
        <f t="shared" si="65"/>
        <v>0</v>
      </c>
      <c r="H102" s="155">
        <f t="shared" si="65"/>
        <v>0</v>
      </c>
    </row>
    <row r="103" spans="1:8">
      <c r="A103" s="155" t="s">
        <v>25</v>
      </c>
      <c r="B103" s="155">
        <f t="shared" si="65"/>
        <v>0</v>
      </c>
      <c r="C103" s="155">
        <f t="shared" si="65"/>
        <v>0</v>
      </c>
      <c r="D103" s="155">
        <f t="shared" si="65"/>
        <v>0</v>
      </c>
      <c r="E103" s="155">
        <f t="shared" si="65"/>
        <v>0</v>
      </c>
      <c r="F103" s="155">
        <f t="shared" si="65"/>
        <v>0</v>
      </c>
      <c r="G103" s="155">
        <f t="shared" si="65"/>
        <v>0</v>
      </c>
      <c r="H103" s="155">
        <f t="shared" si="65"/>
        <v>0</v>
      </c>
    </row>
    <row r="104" spans="1:8">
      <c r="A104" s="155" t="s">
        <v>46</v>
      </c>
      <c r="B104" s="155">
        <f t="shared" si="65"/>
        <v>0</v>
      </c>
      <c r="C104" s="155">
        <f t="shared" si="65"/>
        <v>0</v>
      </c>
      <c r="D104" s="155">
        <f t="shared" si="65"/>
        <v>0</v>
      </c>
      <c r="E104" s="155">
        <f t="shared" si="65"/>
        <v>0</v>
      </c>
      <c r="F104" s="155">
        <f t="shared" si="65"/>
        <v>0</v>
      </c>
      <c r="G104" s="155">
        <f t="shared" si="65"/>
        <v>0</v>
      </c>
      <c r="H104" s="155">
        <f t="shared" si="65"/>
        <v>0</v>
      </c>
    </row>
    <row r="105" spans="1:8">
      <c r="A105" s="155" t="s">
        <v>12</v>
      </c>
      <c r="B105" s="155">
        <f t="shared" si="65"/>
        <v>0</v>
      </c>
      <c r="C105" s="155">
        <f t="shared" si="65"/>
        <v>0</v>
      </c>
      <c r="D105" s="155">
        <f t="shared" si="65"/>
        <v>0</v>
      </c>
      <c r="E105" s="155">
        <f t="shared" si="65"/>
        <v>0</v>
      </c>
      <c r="F105" s="155">
        <f t="shared" si="65"/>
        <v>0</v>
      </c>
      <c r="G105" s="155">
        <f t="shared" si="65"/>
        <v>0</v>
      </c>
      <c r="H105" s="155">
        <f t="shared" si="65"/>
        <v>0</v>
      </c>
    </row>
    <row r="106" spans="1:8">
      <c r="A106" s="155" t="s">
        <v>27</v>
      </c>
      <c r="B106" s="155">
        <f t="shared" si="65"/>
        <v>0</v>
      </c>
      <c r="C106" s="155">
        <f t="shared" si="65"/>
        <v>0</v>
      </c>
      <c r="D106" s="155">
        <f t="shared" si="65"/>
        <v>0</v>
      </c>
      <c r="E106" s="155">
        <f t="shared" si="65"/>
        <v>0</v>
      </c>
      <c r="F106" s="155">
        <f t="shared" si="65"/>
        <v>0</v>
      </c>
      <c r="G106" s="155">
        <f t="shared" si="65"/>
        <v>0</v>
      </c>
      <c r="H106" s="155">
        <f t="shared" si="65"/>
        <v>0</v>
      </c>
    </row>
    <row r="107" spans="1:8">
      <c r="A107" s="155" t="s">
        <v>47</v>
      </c>
      <c r="B107" s="155">
        <f t="shared" si="65"/>
        <v>0</v>
      </c>
      <c r="C107" s="155">
        <f t="shared" si="65"/>
        <v>0</v>
      </c>
      <c r="D107" s="155">
        <f t="shared" si="65"/>
        <v>0</v>
      </c>
      <c r="E107" s="155">
        <f t="shared" si="65"/>
        <v>0</v>
      </c>
      <c r="F107" s="155">
        <f t="shared" si="65"/>
        <v>0</v>
      </c>
      <c r="G107" s="155">
        <f t="shared" si="65"/>
        <v>0</v>
      </c>
      <c r="H107" s="155">
        <f t="shared" si="65"/>
        <v>0</v>
      </c>
    </row>
    <row r="108" spans="1:8">
      <c r="A108" s="155" t="s">
        <v>12</v>
      </c>
      <c r="B108" s="155">
        <f t="shared" si="65"/>
        <v>0</v>
      </c>
      <c r="C108" s="155">
        <f t="shared" si="65"/>
        <v>0</v>
      </c>
      <c r="D108" s="155">
        <f t="shared" si="65"/>
        <v>0</v>
      </c>
      <c r="E108" s="155">
        <f t="shared" si="65"/>
        <v>0</v>
      </c>
      <c r="F108" s="155">
        <f t="shared" si="65"/>
        <v>0</v>
      </c>
      <c r="G108" s="155">
        <f t="shared" si="65"/>
        <v>0</v>
      </c>
      <c r="H108" s="155">
        <f t="shared" si="65"/>
        <v>0</v>
      </c>
    </row>
    <row r="109" spans="1:8">
      <c r="A109" s="155" t="s">
        <v>29</v>
      </c>
      <c r="B109" s="155">
        <f t="shared" si="65"/>
        <v>0</v>
      </c>
      <c r="C109" s="155">
        <f t="shared" si="65"/>
        <v>0</v>
      </c>
      <c r="D109" s="155">
        <f t="shared" si="65"/>
        <v>0</v>
      </c>
      <c r="E109" s="155">
        <f t="shared" si="65"/>
        <v>0</v>
      </c>
      <c r="F109" s="155">
        <f t="shared" si="65"/>
        <v>0</v>
      </c>
      <c r="G109" s="155">
        <f t="shared" si="65"/>
        <v>0</v>
      </c>
      <c r="H109" s="155">
        <f t="shared" si="65"/>
        <v>0</v>
      </c>
    </row>
    <row r="110" spans="1:8">
      <c r="A110" s="155" t="s">
        <v>48</v>
      </c>
      <c r="B110" s="155">
        <f t="shared" si="65"/>
        <v>0</v>
      </c>
      <c r="C110" s="155">
        <f t="shared" si="65"/>
        <v>0</v>
      </c>
      <c r="D110" s="155">
        <f t="shared" si="65"/>
        <v>0</v>
      </c>
      <c r="E110" s="155">
        <f t="shared" si="65"/>
        <v>0</v>
      </c>
      <c r="F110" s="155">
        <f t="shared" si="65"/>
        <v>0</v>
      </c>
      <c r="G110" s="155">
        <f t="shared" si="65"/>
        <v>0</v>
      </c>
      <c r="H110" s="155">
        <f t="shared" si="65"/>
        <v>0</v>
      </c>
    </row>
    <row r="111" spans="1:8">
      <c r="A111" s="155" t="s">
        <v>12</v>
      </c>
      <c r="B111" s="155">
        <f t="shared" si="65"/>
        <v>0</v>
      </c>
      <c r="C111" s="155">
        <f t="shared" si="65"/>
        <v>0</v>
      </c>
      <c r="D111" s="155">
        <f t="shared" si="65"/>
        <v>0</v>
      </c>
      <c r="E111" s="155">
        <f t="shared" si="65"/>
        <v>0</v>
      </c>
      <c r="F111" s="155">
        <f t="shared" si="65"/>
        <v>0</v>
      </c>
      <c r="G111" s="155">
        <f t="shared" si="65"/>
        <v>0</v>
      </c>
      <c r="H111" s="155">
        <f t="shared" si="65"/>
        <v>0</v>
      </c>
    </row>
    <row r="112" spans="1:8">
      <c r="A112" s="155" t="s">
        <v>31</v>
      </c>
      <c r="B112" s="155">
        <f t="shared" si="65"/>
        <v>0</v>
      </c>
      <c r="C112" s="155">
        <f t="shared" si="65"/>
        <v>0</v>
      </c>
      <c r="D112" s="155">
        <f t="shared" si="65"/>
        <v>0</v>
      </c>
      <c r="E112" s="155">
        <f t="shared" si="65"/>
        <v>0</v>
      </c>
      <c r="F112" s="155">
        <f t="shared" si="65"/>
        <v>0</v>
      </c>
      <c r="G112" s="155">
        <f t="shared" si="65"/>
        <v>0</v>
      </c>
      <c r="H112" s="155">
        <f t="shared" si="65"/>
        <v>0</v>
      </c>
    </row>
    <row r="113" spans="1:8">
      <c r="A113" s="155" t="s">
        <v>52</v>
      </c>
      <c r="B113" s="155">
        <f t="shared" si="65"/>
        <v>0</v>
      </c>
      <c r="C113" s="155">
        <f t="shared" si="65"/>
        <v>0</v>
      </c>
      <c r="D113" s="155">
        <f t="shared" si="65"/>
        <v>1</v>
      </c>
      <c r="E113" s="155">
        <f t="shared" si="65"/>
        <v>0</v>
      </c>
      <c r="F113" s="155">
        <f t="shared" si="65"/>
        <v>0</v>
      </c>
      <c r="G113" s="155">
        <f t="shared" si="65"/>
        <v>0</v>
      </c>
      <c r="H113" s="155">
        <f t="shared" si="65"/>
        <v>0</v>
      </c>
    </row>
    <row r="114" spans="1:8">
      <c r="A114" s="155" t="s">
        <v>12</v>
      </c>
      <c r="B114" s="155">
        <f t="shared" si="65"/>
        <v>0</v>
      </c>
      <c r="C114" s="155">
        <f t="shared" si="65"/>
        <v>0</v>
      </c>
      <c r="D114" s="155">
        <f t="shared" si="65"/>
        <v>1.0239397104214731E-3</v>
      </c>
      <c r="E114" s="155">
        <f t="shared" si="65"/>
        <v>0</v>
      </c>
      <c r="F114" s="155">
        <f t="shared" si="65"/>
        <v>0</v>
      </c>
      <c r="G114" s="155">
        <f t="shared" si="65"/>
        <v>0</v>
      </c>
      <c r="H114" s="155">
        <f t="shared" si="65"/>
        <v>0</v>
      </c>
    </row>
  </sheetData>
  <mergeCells count="6">
    <mergeCell ref="AA6:AA7"/>
    <mergeCell ref="AK6:AK7"/>
    <mergeCell ref="A6:A7"/>
    <mergeCell ref="A4:H4"/>
    <mergeCell ref="J6:J7"/>
    <mergeCell ref="R6:R7"/>
  </mergeCells>
  <phoneticPr fontId="17" type="noConversion"/>
  <pageMargins left="0.23622047244094491" right="0.23622047244094491" top="0.35433070866141736" bottom="0.19685039370078741" header="0.19685039370078741" footer="0.15748031496062992"/>
  <pageSetup paperSize="9" fitToWidth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5"/>
  <dimension ref="A1:AQ114"/>
  <sheetViews>
    <sheetView zoomScale="85" zoomScaleNormal="85" workbookViewId="0">
      <selection activeCell="A4" sqref="A4"/>
    </sheetView>
  </sheetViews>
  <sheetFormatPr defaultRowHeight="13.2"/>
  <cols>
    <col min="1" max="1" width="14.5546875" customWidth="1"/>
    <col min="2" max="2" width="7.6640625" customWidth="1"/>
    <col min="3" max="3" width="7.5546875" customWidth="1"/>
    <col min="4" max="4" width="7.6640625" customWidth="1"/>
    <col min="5" max="6" width="6.88671875" customWidth="1"/>
    <col min="9" max="9" width="5.33203125" customWidth="1"/>
    <col min="10" max="10" width="15.6640625" customWidth="1"/>
    <col min="11" max="11" width="7.6640625" customWidth="1"/>
    <col min="12" max="12" width="7.109375" customWidth="1"/>
    <col min="14" max="14" width="7" customWidth="1"/>
    <col min="15" max="15" width="7.6640625" customWidth="1"/>
    <col min="16" max="16" width="7.33203125" customWidth="1"/>
    <col min="17" max="17" width="7.88671875" customWidth="1"/>
    <col min="18" max="18" width="15.6640625" customWidth="1"/>
    <col min="19" max="19" width="6.88671875" customWidth="1"/>
    <col min="20" max="20" width="7.88671875" customWidth="1"/>
    <col min="22" max="22" width="6.33203125" customWidth="1"/>
    <col min="23" max="23" width="7.6640625" customWidth="1"/>
    <col min="24" max="24" width="8" customWidth="1"/>
    <col min="25" max="25" width="7.33203125" customWidth="1"/>
    <col min="26" max="26" width="6.5546875" customWidth="1"/>
    <col min="27" max="27" width="15.33203125" customWidth="1"/>
    <col min="28" max="28" width="7.5546875" customWidth="1"/>
    <col min="29" max="29" width="7.88671875" customWidth="1"/>
    <col min="31" max="31" width="6.6640625" customWidth="1"/>
    <col min="32" max="32" width="7.5546875" customWidth="1"/>
    <col min="33" max="34" width="7.33203125" customWidth="1"/>
    <col min="36" max="36" width="15.33203125" customWidth="1"/>
  </cols>
  <sheetData>
    <row r="1" spans="1:43" ht="15.75" customHeight="1">
      <c r="A1" s="466" t="s">
        <v>55</v>
      </c>
      <c r="B1" s="466"/>
      <c r="C1" s="466"/>
      <c r="D1" s="466"/>
      <c r="E1" s="466"/>
      <c r="F1" s="466"/>
      <c r="G1" s="466"/>
      <c r="H1" s="466"/>
      <c r="J1" s="12"/>
      <c r="K1" s="37"/>
      <c r="L1" s="37"/>
      <c r="M1" s="37"/>
      <c r="N1" s="37"/>
      <c r="O1" s="37"/>
      <c r="P1" s="37"/>
      <c r="Q1" s="38" t="s">
        <v>33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ht="15.75" customHeight="1">
      <c r="A2" s="224"/>
      <c r="B2" s="224"/>
      <c r="C2" s="224"/>
      <c r="D2" s="224"/>
      <c r="E2" s="467" t="s">
        <v>74</v>
      </c>
      <c r="F2" s="467"/>
      <c r="G2" s="467"/>
      <c r="H2" s="467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34.5" customHeight="1">
      <c r="A3" s="468" t="s">
        <v>115</v>
      </c>
      <c r="B3" s="468"/>
      <c r="C3" s="468"/>
      <c r="D3" s="468"/>
      <c r="E3" s="468"/>
      <c r="F3" s="468"/>
      <c r="G3" s="468"/>
      <c r="H3" s="468"/>
      <c r="J3" s="40"/>
      <c r="K3" s="12"/>
      <c r="L3" s="12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</row>
    <row r="4" spans="1:43" ht="15.6">
      <c r="A4" s="40"/>
      <c r="B4" s="40"/>
      <c r="C4" s="40"/>
      <c r="D4" s="40"/>
      <c r="E4" s="40"/>
      <c r="F4" s="40"/>
      <c r="G4" s="40"/>
      <c r="H4" s="40"/>
      <c r="J4" s="40"/>
      <c r="K4" s="12"/>
      <c r="L4" s="12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</row>
    <row r="5" spans="1:43" ht="15.6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43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09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09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</row>
    <row r="7" spans="1:43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09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09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</row>
    <row r="8" spans="1:43">
      <c r="A8" s="469" t="s">
        <v>17</v>
      </c>
      <c r="B8" s="470"/>
      <c r="C8" s="470"/>
      <c r="D8" s="470"/>
      <c r="E8" s="470"/>
      <c r="F8" s="470"/>
      <c r="G8" s="470"/>
      <c r="H8" s="471"/>
      <c r="J8" s="469" t="s">
        <v>17</v>
      </c>
      <c r="K8" s="470"/>
      <c r="L8" s="470"/>
      <c r="M8" s="470"/>
      <c r="N8" s="470"/>
      <c r="O8" s="470"/>
      <c r="P8" s="470"/>
      <c r="Q8" s="471"/>
      <c r="R8" s="469" t="s">
        <v>17</v>
      </c>
      <c r="S8" s="470"/>
      <c r="T8" s="470"/>
      <c r="U8" s="470"/>
      <c r="V8" s="470"/>
      <c r="W8" s="470"/>
      <c r="X8" s="470"/>
      <c r="Y8" s="471"/>
      <c r="Z8" s="186"/>
      <c r="AA8" s="469" t="s">
        <v>17</v>
      </c>
      <c r="AB8" s="470"/>
      <c r="AC8" s="470"/>
      <c r="AD8" s="470"/>
      <c r="AE8" s="470"/>
      <c r="AF8" s="470"/>
      <c r="AG8" s="470"/>
      <c r="AH8" s="471"/>
      <c r="AI8" s="186"/>
      <c r="AJ8" s="469" t="s">
        <v>17</v>
      </c>
      <c r="AK8" s="470"/>
      <c r="AL8" s="470"/>
      <c r="AM8" s="470"/>
      <c r="AN8" s="470"/>
      <c r="AO8" s="470"/>
      <c r="AP8" s="470"/>
      <c r="AQ8" s="471"/>
    </row>
    <row r="9" spans="1:43">
      <c r="A9" s="33" t="s">
        <v>18</v>
      </c>
      <c r="B9" s="33">
        <f>B13+B20</f>
        <v>625.5</v>
      </c>
      <c r="C9" s="33">
        <f t="shared" ref="C9:H9" si="0">C13+C20</f>
        <v>28968</v>
      </c>
      <c r="D9" s="33">
        <f t="shared" si="0"/>
        <v>24647</v>
      </c>
      <c r="E9" s="33">
        <f t="shared" si="0"/>
        <v>3729</v>
      </c>
      <c r="F9" s="33">
        <f t="shared" si="0"/>
        <v>5359</v>
      </c>
      <c r="G9" s="33">
        <f t="shared" si="0"/>
        <v>1561</v>
      </c>
      <c r="H9" s="33">
        <f t="shared" si="0"/>
        <v>13998</v>
      </c>
      <c r="J9" s="33" t="s">
        <v>18</v>
      </c>
      <c r="K9" s="42">
        <f t="shared" ref="K9:Q10" si="1">K13+K20</f>
        <v>248.60000000000002</v>
      </c>
      <c r="L9" s="36">
        <f t="shared" si="1"/>
        <v>9673</v>
      </c>
      <c r="M9" s="33">
        <f t="shared" si="1"/>
        <v>7798</v>
      </c>
      <c r="N9" s="33">
        <f t="shared" si="1"/>
        <v>972</v>
      </c>
      <c r="O9" s="33">
        <f t="shared" si="1"/>
        <v>1968</v>
      </c>
      <c r="P9" s="33">
        <f t="shared" si="1"/>
        <v>751</v>
      </c>
      <c r="Q9" s="33">
        <f t="shared" si="1"/>
        <v>4107</v>
      </c>
      <c r="R9" s="33" t="s">
        <v>18</v>
      </c>
      <c r="S9" s="42">
        <f t="shared" ref="S9:Y10" si="2">S13+S20</f>
        <v>376.9</v>
      </c>
      <c r="T9" s="36">
        <f t="shared" si="2"/>
        <v>19295</v>
      </c>
      <c r="U9" s="33">
        <f t="shared" si="2"/>
        <v>16849</v>
      </c>
      <c r="V9" s="33">
        <f t="shared" si="2"/>
        <v>2757</v>
      </c>
      <c r="W9" s="33">
        <f t="shared" si="2"/>
        <v>3391</v>
      </c>
      <c r="X9" s="33">
        <f t="shared" si="2"/>
        <v>810</v>
      </c>
      <c r="Y9" s="33">
        <f t="shared" si="2"/>
        <v>9891</v>
      </c>
      <c r="Z9" s="110"/>
      <c r="AA9" s="33" t="s">
        <v>18</v>
      </c>
      <c r="AB9" s="42">
        <f t="shared" ref="AB9:AH10" si="3">AB13+AB20</f>
        <v>111.69999999999999</v>
      </c>
      <c r="AC9" s="36">
        <f t="shared" si="3"/>
        <v>8304</v>
      </c>
      <c r="AD9" s="33">
        <f t="shared" si="3"/>
        <v>7211</v>
      </c>
      <c r="AE9" s="33">
        <f t="shared" si="3"/>
        <v>2295</v>
      </c>
      <c r="AF9" s="33">
        <f t="shared" si="3"/>
        <v>1028</v>
      </c>
      <c r="AG9" s="33">
        <f t="shared" si="3"/>
        <v>250</v>
      </c>
      <c r="AH9" s="33">
        <f t="shared" si="3"/>
        <v>3638</v>
      </c>
      <c r="AI9" s="110"/>
      <c r="AJ9" s="33" t="s">
        <v>18</v>
      </c>
      <c r="AK9" s="33">
        <f t="shared" ref="AK9:AQ9" si="4">AK13+AK20</f>
        <v>0</v>
      </c>
      <c r="AL9" s="33">
        <f t="shared" si="4"/>
        <v>0</v>
      </c>
      <c r="AM9" s="6">
        <f>AN9+AO9+AP9+AQ9</f>
        <v>0</v>
      </c>
      <c r="AN9" s="33">
        <f t="shared" si="4"/>
        <v>0</v>
      </c>
      <c r="AO9" s="33">
        <f t="shared" si="4"/>
        <v>0</v>
      </c>
      <c r="AP9" s="33">
        <f t="shared" si="4"/>
        <v>0</v>
      </c>
      <c r="AQ9" s="33">
        <f t="shared" si="4"/>
        <v>0</v>
      </c>
    </row>
    <row r="10" spans="1:43">
      <c r="A10" s="7" t="s">
        <v>19</v>
      </c>
      <c r="B10" s="33">
        <f t="shared" ref="B10:H10" si="5">B14+B21</f>
        <v>520.4</v>
      </c>
      <c r="C10" s="33">
        <f t="shared" si="5"/>
        <v>27066</v>
      </c>
      <c r="D10" s="33">
        <f t="shared" si="5"/>
        <v>24790</v>
      </c>
      <c r="E10" s="33">
        <f t="shared" si="5"/>
        <v>3760</v>
      </c>
      <c r="F10" s="33">
        <f t="shared" si="5"/>
        <v>1336</v>
      </c>
      <c r="G10" s="33">
        <f t="shared" si="5"/>
        <v>71</v>
      </c>
      <c r="H10" s="33">
        <f t="shared" si="5"/>
        <v>19623</v>
      </c>
      <c r="J10" s="7" t="s">
        <v>19</v>
      </c>
      <c r="K10" s="33">
        <f t="shared" si="1"/>
        <v>203.39999999999998</v>
      </c>
      <c r="L10" s="33">
        <f t="shared" si="1"/>
        <v>11661</v>
      </c>
      <c r="M10" s="33">
        <f t="shared" si="1"/>
        <v>10457</v>
      </c>
      <c r="N10" s="33">
        <f t="shared" si="1"/>
        <v>1626</v>
      </c>
      <c r="O10" s="33">
        <f t="shared" si="1"/>
        <v>913</v>
      </c>
      <c r="P10" s="33">
        <f t="shared" si="1"/>
        <v>39</v>
      </c>
      <c r="Q10" s="33">
        <f t="shared" si="1"/>
        <v>7879</v>
      </c>
      <c r="R10" s="33" t="s">
        <v>19</v>
      </c>
      <c r="S10" s="42">
        <f t="shared" si="2"/>
        <v>288.80000000000007</v>
      </c>
      <c r="T10" s="36">
        <f t="shared" si="2"/>
        <v>11729</v>
      </c>
      <c r="U10" s="36">
        <f t="shared" si="2"/>
        <v>10813</v>
      </c>
      <c r="V10" s="36">
        <f t="shared" si="2"/>
        <v>1779</v>
      </c>
      <c r="W10" s="36">
        <f t="shared" si="2"/>
        <v>255</v>
      </c>
      <c r="X10" s="36">
        <f t="shared" si="2"/>
        <v>32</v>
      </c>
      <c r="Y10" s="36">
        <f t="shared" si="2"/>
        <v>8747</v>
      </c>
      <c r="Z10" s="110"/>
      <c r="AA10" s="7" t="s">
        <v>19</v>
      </c>
      <c r="AB10" s="42">
        <f>AB14+AB21</f>
        <v>105.6</v>
      </c>
      <c r="AC10" s="33">
        <f t="shared" si="3"/>
        <v>6009</v>
      </c>
      <c r="AD10" s="43">
        <f>AE10+AF10+AG10+AH10</f>
        <v>5554</v>
      </c>
      <c r="AE10" s="33">
        <f t="shared" si="3"/>
        <v>1432</v>
      </c>
      <c r="AF10" s="33">
        <f t="shared" si="3"/>
        <v>166</v>
      </c>
      <c r="AG10" s="33">
        <f t="shared" si="3"/>
        <v>25</v>
      </c>
      <c r="AH10" s="33">
        <f t="shared" si="3"/>
        <v>3931</v>
      </c>
      <c r="AI10" s="110"/>
      <c r="AJ10" s="7" t="s">
        <v>19</v>
      </c>
      <c r="AK10" s="42">
        <f>AK14+AK21</f>
        <v>28.2</v>
      </c>
      <c r="AL10" s="33">
        <f>AL14+AL21</f>
        <v>3676</v>
      </c>
      <c r="AM10" s="43">
        <f>AN10+AO10+AP10+AQ10</f>
        <v>3520</v>
      </c>
      <c r="AN10" s="33">
        <f>AN14+AN21</f>
        <v>355</v>
      </c>
      <c r="AO10" s="33">
        <f>AO14+AO21</f>
        <v>168</v>
      </c>
      <c r="AP10" s="33">
        <f>AP14+AP21</f>
        <v>0</v>
      </c>
      <c r="AQ10" s="33">
        <v>2997</v>
      </c>
    </row>
    <row r="11" spans="1:43">
      <c r="A11" s="33" t="s">
        <v>20</v>
      </c>
      <c r="B11" s="26">
        <f t="shared" ref="B11:H11" si="6">B10/B9*100</f>
        <v>83.197442046362909</v>
      </c>
      <c r="C11" s="26">
        <f t="shared" si="6"/>
        <v>93.434134217067111</v>
      </c>
      <c r="D11" s="26">
        <f t="shared" si="6"/>
        <v>100.58019231549477</v>
      </c>
      <c r="E11" s="26">
        <f t="shared" si="6"/>
        <v>100.83132207026013</v>
      </c>
      <c r="F11" s="26">
        <f t="shared" si="6"/>
        <v>24.930024258257138</v>
      </c>
      <c r="G11" s="26">
        <f t="shared" si="6"/>
        <v>4.5483664317745038</v>
      </c>
      <c r="H11" s="26">
        <f t="shared" si="6"/>
        <v>140.18431204457781</v>
      </c>
      <c r="J11" s="33" t="s">
        <v>20</v>
      </c>
      <c r="K11" s="26">
        <f t="shared" ref="K11:Q11" si="7">K10/K9*100</f>
        <v>81.818181818181799</v>
      </c>
      <c r="L11" s="26">
        <f t="shared" si="7"/>
        <v>120.55205210379407</v>
      </c>
      <c r="M11" s="26">
        <f t="shared" si="7"/>
        <v>134.09848679148499</v>
      </c>
      <c r="N11" s="26">
        <f t="shared" si="7"/>
        <v>167.28395061728395</v>
      </c>
      <c r="O11" s="26">
        <f t="shared" si="7"/>
        <v>46.392276422764226</v>
      </c>
      <c r="P11" s="26">
        <f t="shared" si="7"/>
        <v>5.1930758988015979</v>
      </c>
      <c r="Q11" s="26">
        <f t="shared" si="7"/>
        <v>191.84319454589723</v>
      </c>
      <c r="R11" s="33" t="s">
        <v>20</v>
      </c>
      <c r="S11" s="26">
        <f t="shared" ref="S11:Y11" si="8">S10/S9*100</f>
        <v>76.625099495887525</v>
      </c>
      <c r="T11" s="26">
        <f t="shared" si="8"/>
        <v>60.787768852034205</v>
      </c>
      <c r="U11" s="26">
        <f t="shared" si="8"/>
        <v>64.175915484598491</v>
      </c>
      <c r="V11" s="26">
        <f t="shared" si="8"/>
        <v>64.526659412404783</v>
      </c>
      <c r="W11" s="26">
        <f t="shared" si="8"/>
        <v>7.5199056325567684</v>
      </c>
      <c r="X11" s="26">
        <f t="shared" si="8"/>
        <v>3.9506172839506171</v>
      </c>
      <c r="Y11" s="26">
        <f t="shared" si="8"/>
        <v>88.433929835203713</v>
      </c>
      <c r="Z11" s="113"/>
      <c r="AA11" s="33" t="s">
        <v>20</v>
      </c>
      <c r="AB11" s="26">
        <f t="shared" ref="AB11:AH11" si="9">AB10/AB9*100</f>
        <v>94.538943598925698</v>
      </c>
      <c r="AC11" s="26">
        <f t="shared" si="9"/>
        <v>72.362716763005778</v>
      </c>
      <c r="AD11" s="26">
        <f t="shared" si="9"/>
        <v>77.021217584246287</v>
      </c>
      <c r="AE11" s="26">
        <f t="shared" si="9"/>
        <v>62.39651416122004</v>
      </c>
      <c r="AF11" s="26">
        <f t="shared" si="9"/>
        <v>16.147859922178988</v>
      </c>
      <c r="AG11" s="26">
        <f t="shared" si="9"/>
        <v>10</v>
      </c>
      <c r="AH11" s="26">
        <f t="shared" si="9"/>
        <v>108.05387575590983</v>
      </c>
      <c r="AI11" s="113"/>
      <c r="AJ11" s="33" t="s">
        <v>20</v>
      </c>
      <c r="AK11" s="26" t="e">
        <f>AK10/AK9*100</f>
        <v>#DIV/0!</v>
      </c>
      <c r="AL11" s="26" t="e">
        <f>AL10/AL9*100</f>
        <v>#DIV/0!</v>
      </c>
      <c r="AM11" s="26" t="e">
        <f>AM10/AM9*100</f>
        <v>#DIV/0!</v>
      </c>
      <c r="AN11" s="26">
        <v>0</v>
      </c>
      <c r="AO11" s="26" t="e">
        <f>AO10/AO9*100</f>
        <v>#DIV/0!</v>
      </c>
      <c r="AP11" s="26" t="e">
        <f>AP10/AP9*100</f>
        <v>#DIV/0!</v>
      </c>
      <c r="AQ11" s="26" t="e">
        <f>AQ10/AQ9*100</f>
        <v>#DIV/0!</v>
      </c>
    </row>
    <row r="12" spans="1:43">
      <c r="A12" s="461" t="s">
        <v>11</v>
      </c>
      <c r="B12" s="464"/>
      <c r="C12" s="464"/>
      <c r="D12" s="464"/>
      <c r="E12" s="464"/>
      <c r="F12" s="464"/>
      <c r="G12" s="464"/>
      <c r="H12" s="465"/>
      <c r="J12" s="461" t="s">
        <v>11</v>
      </c>
      <c r="K12" s="462"/>
      <c r="L12" s="462"/>
      <c r="M12" s="462"/>
      <c r="N12" s="462"/>
      <c r="O12" s="462"/>
      <c r="P12" s="462"/>
      <c r="Q12" s="463"/>
      <c r="R12" s="461" t="s">
        <v>11</v>
      </c>
      <c r="S12" s="462"/>
      <c r="T12" s="462"/>
      <c r="U12" s="462"/>
      <c r="V12" s="462"/>
      <c r="W12" s="462"/>
      <c r="X12" s="462"/>
      <c r="Y12" s="463"/>
      <c r="Z12" s="296"/>
      <c r="AA12" s="461" t="s">
        <v>11</v>
      </c>
      <c r="AB12" s="462"/>
      <c r="AC12" s="462"/>
      <c r="AD12" s="462"/>
      <c r="AE12" s="462"/>
      <c r="AF12" s="462"/>
      <c r="AG12" s="462"/>
      <c r="AH12" s="463"/>
      <c r="AI12" s="296"/>
      <c r="AJ12" s="461" t="s">
        <v>11</v>
      </c>
      <c r="AK12" s="462"/>
      <c r="AL12" s="462"/>
      <c r="AM12" s="462"/>
      <c r="AN12" s="462"/>
      <c r="AO12" s="462"/>
      <c r="AP12" s="462"/>
      <c r="AQ12" s="463"/>
    </row>
    <row r="13" spans="1:43">
      <c r="A13" s="248" t="s">
        <v>18</v>
      </c>
      <c r="B13" s="6">
        <f t="shared" ref="B13:H13" si="10">K13+S13+AK13</f>
        <v>113.19999999999999</v>
      </c>
      <c r="C13" s="6">
        <f t="shared" si="10"/>
        <v>5472</v>
      </c>
      <c r="D13" s="6">
        <f t="shared" si="10"/>
        <v>4156</v>
      </c>
      <c r="E13" s="6">
        <f t="shared" si="10"/>
        <v>760</v>
      </c>
      <c r="F13" s="6">
        <f t="shared" si="10"/>
        <v>1667</v>
      </c>
      <c r="G13" s="6">
        <f t="shared" si="10"/>
        <v>232</v>
      </c>
      <c r="H13" s="6">
        <f t="shared" si="10"/>
        <v>1497</v>
      </c>
      <c r="J13" s="248" t="s">
        <v>18</v>
      </c>
      <c r="K13" s="6">
        <v>85.8</v>
      </c>
      <c r="L13" s="6">
        <v>3775</v>
      </c>
      <c r="M13" s="6">
        <f>N13+O13+P13+Q13</f>
        <v>2864</v>
      </c>
      <c r="N13" s="6">
        <v>503</v>
      </c>
      <c r="O13" s="6">
        <v>1157</v>
      </c>
      <c r="P13" s="6">
        <v>182</v>
      </c>
      <c r="Q13" s="6">
        <v>1022</v>
      </c>
      <c r="R13" s="248" t="s">
        <v>18</v>
      </c>
      <c r="S13" s="6">
        <v>27.4</v>
      </c>
      <c r="T13" s="6">
        <v>1697</v>
      </c>
      <c r="U13" s="6">
        <f>V13+W13+X13+Y13</f>
        <v>1292</v>
      </c>
      <c r="V13" s="6">
        <v>257</v>
      </c>
      <c r="W13" s="6">
        <v>510</v>
      </c>
      <c r="X13" s="6">
        <v>50</v>
      </c>
      <c r="Y13" s="6">
        <v>475</v>
      </c>
      <c r="Z13" s="1"/>
      <c r="AA13" s="248" t="s">
        <v>18</v>
      </c>
      <c r="AB13" s="6">
        <v>27.4</v>
      </c>
      <c r="AC13" s="6">
        <v>1681</v>
      </c>
      <c r="AD13" s="6">
        <f>AE13+AF13+AG13+AH13</f>
        <v>1280</v>
      </c>
      <c r="AE13" s="6">
        <v>254</v>
      </c>
      <c r="AF13" s="6">
        <v>505</v>
      </c>
      <c r="AG13" s="6">
        <v>50</v>
      </c>
      <c r="AH13" s="6">
        <v>471</v>
      </c>
      <c r="AI13" s="1"/>
      <c r="AJ13" s="248" t="s">
        <v>18</v>
      </c>
      <c r="AK13" s="6"/>
      <c r="AL13" s="6"/>
      <c r="AM13" s="6">
        <f>AN13+AO13+AP13+AQ13</f>
        <v>0</v>
      </c>
      <c r="AN13" s="6"/>
      <c r="AO13" s="6"/>
      <c r="AP13" s="6"/>
      <c r="AQ13" s="6"/>
    </row>
    <row r="14" spans="1:43">
      <c r="A14" s="18" t="s">
        <v>19</v>
      </c>
      <c r="B14" s="26">
        <f>K14+S14+AK14</f>
        <v>179.6</v>
      </c>
      <c r="C14" s="6">
        <f>L14+T14+AL14</f>
        <v>11530</v>
      </c>
      <c r="D14" s="6">
        <f>E14+F14+G14+H14</f>
        <v>10457</v>
      </c>
      <c r="E14" s="6">
        <f>N14+V14+AN14</f>
        <v>2131</v>
      </c>
      <c r="F14" s="6">
        <f>O14+W14+AO14</f>
        <v>948</v>
      </c>
      <c r="G14" s="6">
        <f>P14+X14+AP14</f>
        <v>21</v>
      </c>
      <c r="H14" s="6">
        <f>Q14+Y14+AQ14</f>
        <v>7357</v>
      </c>
      <c r="J14" s="18" t="s">
        <v>19</v>
      </c>
      <c r="K14" s="8">
        <v>120.3</v>
      </c>
      <c r="L14" s="9">
        <v>6026</v>
      </c>
      <c r="M14" s="26">
        <f>N14+O14+P14+Q14</f>
        <v>5398</v>
      </c>
      <c r="N14" s="9">
        <v>1095</v>
      </c>
      <c r="O14" s="9">
        <v>619</v>
      </c>
      <c r="P14" s="9">
        <v>21</v>
      </c>
      <c r="Q14" s="9">
        <v>3663</v>
      </c>
      <c r="R14" s="248" t="s">
        <v>19</v>
      </c>
      <c r="S14" s="6">
        <v>31.1</v>
      </c>
      <c r="T14" s="6">
        <v>1828</v>
      </c>
      <c r="U14" s="6">
        <f>V14+W14+X14+Y14</f>
        <v>1539</v>
      </c>
      <c r="V14" s="6">
        <v>681</v>
      </c>
      <c r="W14" s="6">
        <v>161</v>
      </c>
      <c r="X14" s="6"/>
      <c r="Y14" s="6">
        <v>697</v>
      </c>
      <c r="Z14" s="1"/>
      <c r="AA14" s="18" t="s">
        <v>19</v>
      </c>
      <c r="AB14" s="6">
        <v>31.1</v>
      </c>
      <c r="AC14" s="6">
        <v>1828</v>
      </c>
      <c r="AD14" s="6">
        <f>AE14+AF14+AG14+AH14</f>
        <v>1539</v>
      </c>
      <c r="AE14" s="6">
        <v>681</v>
      </c>
      <c r="AF14" s="6">
        <v>161</v>
      </c>
      <c r="AG14" s="6"/>
      <c r="AH14" s="6">
        <v>697</v>
      </c>
      <c r="AI14" s="1"/>
      <c r="AJ14" s="18" t="s">
        <v>19</v>
      </c>
      <c r="AK14" s="6">
        <v>28.2</v>
      </c>
      <c r="AL14" s="6">
        <v>3676</v>
      </c>
      <c r="AM14" s="6">
        <f>AN14+AO14+AP14+AQ14</f>
        <v>3520</v>
      </c>
      <c r="AN14" s="6">
        <v>355</v>
      </c>
      <c r="AO14" s="6">
        <v>168</v>
      </c>
      <c r="AP14" s="6">
        <v>0</v>
      </c>
      <c r="AQ14" s="6">
        <v>2997</v>
      </c>
    </row>
    <row r="15" spans="1:43">
      <c r="A15" s="248" t="s">
        <v>20</v>
      </c>
      <c r="B15" s="26">
        <f t="shared" ref="B15:H15" si="11">B14/B13*100</f>
        <v>158.65724381625444</v>
      </c>
      <c r="C15" s="26">
        <f t="shared" si="11"/>
        <v>210.70906432748538</v>
      </c>
      <c r="D15" s="26">
        <f>D14/D13*100</f>
        <v>251.61212704523578</v>
      </c>
      <c r="E15" s="26">
        <f t="shared" si="11"/>
        <v>280.39473684210526</v>
      </c>
      <c r="F15" s="26">
        <f t="shared" si="11"/>
        <v>56.868626274745047</v>
      </c>
      <c r="G15" s="26">
        <f t="shared" si="11"/>
        <v>9.0517241379310338</v>
      </c>
      <c r="H15" s="26">
        <f t="shared" si="11"/>
        <v>491.44956579826317</v>
      </c>
      <c r="J15" s="248" t="s">
        <v>20</v>
      </c>
      <c r="K15" s="26">
        <f t="shared" ref="K15:Q15" si="12">K14/K13*100</f>
        <v>140.20979020979021</v>
      </c>
      <c r="L15" s="26">
        <f t="shared" si="12"/>
        <v>159.62913907284769</v>
      </c>
      <c r="M15" s="26">
        <f t="shared" si="12"/>
        <v>188.47765363128494</v>
      </c>
      <c r="N15" s="26">
        <f t="shared" si="12"/>
        <v>217.6938369781312</v>
      </c>
      <c r="O15" s="26">
        <f t="shared" si="12"/>
        <v>53.500432152117547</v>
      </c>
      <c r="P15" s="26">
        <f t="shared" si="12"/>
        <v>11.538461538461538</v>
      </c>
      <c r="Q15" s="26">
        <f t="shared" si="12"/>
        <v>358.41487279843443</v>
      </c>
      <c r="R15" s="248" t="s">
        <v>20</v>
      </c>
      <c r="S15" s="26">
        <f t="shared" ref="S15:Y15" si="13">S14/S13*100</f>
        <v>113.5036496350365</v>
      </c>
      <c r="T15" s="26">
        <f t="shared" si="13"/>
        <v>107.71950500883914</v>
      </c>
      <c r="U15" s="26">
        <f t="shared" si="13"/>
        <v>119.11764705882352</v>
      </c>
      <c r="V15" s="26">
        <f t="shared" si="13"/>
        <v>264.98054474708169</v>
      </c>
      <c r="W15" s="26">
        <f t="shared" si="13"/>
        <v>31.56862745098039</v>
      </c>
      <c r="X15" s="26">
        <f t="shared" si="13"/>
        <v>0</v>
      </c>
      <c r="Y15" s="26">
        <f t="shared" si="13"/>
        <v>146.73684210526318</v>
      </c>
      <c r="Z15" s="113"/>
      <c r="AA15" s="248" t="s">
        <v>20</v>
      </c>
      <c r="AB15" s="26">
        <f t="shared" ref="AB15:AH15" si="14">AB14/AB13*100</f>
        <v>113.5036496350365</v>
      </c>
      <c r="AC15" s="26">
        <f t="shared" si="14"/>
        <v>108.74479476502081</v>
      </c>
      <c r="AD15" s="26">
        <f t="shared" si="14"/>
        <v>120.234375</v>
      </c>
      <c r="AE15" s="26">
        <f t="shared" si="14"/>
        <v>268.11023622047247</v>
      </c>
      <c r="AF15" s="26">
        <f t="shared" si="14"/>
        <v>31.881188118811881</v>
      </c>
      <c r="AG15" s="26">
        <f t="shared" si="14"/>
        <v>0</v>
      </c>
      <c r="AH15" s="26">
        <f t="shared" si="14"/>
        <v>147.98301486199574</v>
      </c>
      <c r="AI15" s="113"/>
      <c r="AJ15" s="248" t="s">
        <v>20</v>
      </c>
      <c r="AK15" s="26" t="s">
        <v>71</v>
      </c>
      <c r="AL15" s="26" t="e">
        <f>AL14/AL13*100</f>
        <v>#DIV/0!</v>
      </c>
      <c r="AM15" s="26" t="e">
        <f>AM14/AM13*100</f>
        <v>#DIV/0!</v>
      </c>
      <c r="AN15" s="26"/>
      <c r="AO15" s="26" t="e">
        <f>AO14/AO13*100</f>
        <v>#DIV/0!</v>
      </c>
      <c r="AP15" s="26" t="e">
        <f>AP14/AP13*100</f>
        <v>#DIV/0!</v>
      </c>
      <c r="AQ15" s="26" t="e">
        <f>AQ14/AQ13*100</f>
        <v>#DIV/0!</v>
      </c>
    </row>
    <row r="16" spans="1:43">
      <c r="A16" s="6" t="s">
        <v>13</v>
      </c>
      <c r="B16" s="6">
        <f t="shared" ref="B16:C18" si="15">K16+S16+AK16</f>
        <v>135.5</v>
      </c>
      <c r="C16" s="6">
        <f t="shared" si="15"/>
        <v>5565</v>
      </c>
      <c r="D16" s="6">
        <f>E16+F16+G16+H16</f>
        <v>4946</v>
      </c>
      <c r="E16" s="6">
        <f t="shared" ref="E16:H18" si="16">N16+V16+AN16</f>
        <v>1332</v>
      </c>
      <c r="F16" s="6">
        <f t="shared" si="16"/>
        <v>577</v>
      </c>
      <c r="G16" s="6">
        <f t="shared" si="16"/>
        <v>14</v>
      </c>
      <c r="H16" s="6">
        <f t="shared" si="16"/>
        <v>3023</v>
      </c>
      <c r="J16" s="6" t="s">
        <v>13</v>
      </c>
      <c r="K16" s="6">
        <v>105</v>
      </c>
      <c r="L16" s="6">
        <v>4431</v>
      </c>
      <c r="M16" s="26">
        <f>N16+O16+P16+Q16</f>
        <v>3973</v>
      </c>
      <c r="N16" s="6">
        <v>942</v>
      </c>
      <c r="O16" s="6">
        <v>452</v>
      </c>
      <c r="P16" s="6">
        <v>14</v>
      </c>
      <c r="Q16" s="6">
        <v>2565</v>
      </c>
      <c r="R16" s="6" t="s">
        <v>13</v>
      </c>
      <c r="S16" s="6">
        <v>28</v>
      </c>
      <c r="T16" s="6">
        <v>984</v>
      </c>
      <c r="U16" s="6">
        <f>V16+W16+X16+Y16</f>
        <v>835</v>
      </c>
      <c r="V16" s="6">
        <v>375</v>
      </c>
      <c r="W16" s="6">
        <v>110</v>
      </c>
      <c r="X16" s="6"/>
      <c r="Y16" s="6">
        <v>350</v>
      </c>
      <c r="Z16" s="1"/>
      <c r="AA16" s="6" t="s">
        <v>13</v>
      </c>
      <c r="AB16" s="6">
        <v>28</v>
      </c>
      <c r="AC16" s="6">
        <v>984</v>
      </c>
      <c r="AD16" s="6">
        <f>AE16+AF16+AG16+AH16</f>
        <v>835</v>
      </c>
      <c r="AE16" s="6">
        <v>375</v>
      </c>
      <c r="AF16" s="6">
        <v>110</v>
      </c>
      <c r="AG16" s="6"/>
      <c r="AH16" s="6">
        <v>350</v>
      </c>
      <c r="AI16" s="1"/>
      <c r="AJ16" s="6" t="s">
        <v>13</v>
      </c>
      <c r="AK16" s="6">
        <v>2.5</v>
      </c>
      <c r="AL16" s="6">
        <v>150</v>
      </c>
      <c r="AM16" s="6">
        <f>AN16+AO16+AP16+AQ16</f>
        <v>138</v>
      </c>
      <c r="AN16" s="6">
        <v>15</v>
      </c>
      <c r="AO16" s="6">
        <v>15</v>
      </c>
      <c r="AP16" s="6"/>
      <c r="AQ16" s="6">
        <v>108</v>
      </c>
    </row>
    <row r="17" spans="1:43">
      <c r="A17" s="6" t="s">
        <v>14</v>
      </c>
      <c r="B17" s="6">
        <f t="shared" si="15"/>
        <v>0</v>
      </c>
      <c r="C17" s="6">
        <f t="shared" si="15"/>
        <v>22</v>
      </c>
      <c r="D17" s="6">
        <f>E17+F17+G17+H17</f>
        <v>17</v>
      </c>
      <c r="E17" s="6">
        <f t="shared" si="16"/>
        <v>9</v>
      </c>
      <c r="F17" s="6">
        <f t="shared" si="16"/>
        <v>2</v>
      </c>
      <c r="G17" s="6">
        <f t="shared" si="16"/>
        <v>1</v>
      </c>
      <c r="H17" s="6">
        <f t="shared" si="16"/>
        <v>5</v>
      </c>
      <c r="J17" s="6" t="s">
        <v>14</v>
      </c>
      <c r="K17" s="6"/>
      <c r="L17" s="6">
        <v>22</v>
      </c>
      <c r="M17" s="26">
        <f>N17+O17+P17+Q17</f>
        <v>17</v>
      </c>
      <c r="N17" s="6">
        <v>9</v>
      </c>
      <c r="O17" s="6">
        <v>2</v>
      </c>
      <c r="P17" s="6">
        <v>1</v>
      </c>
      <c r="Q17" s="6">
        <v>5</v>
      </c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>
        <f t="shared" si="15"/>
        <v>1</v>
      </c>
      <c r="C18" s="6">
        <f t="shared" si="15"/>
        <v>193</v>
      </c>
      <c r="D18" s="6">
        <f>E18+F18+G18+H18</f>
        <v>171</v>
      </c>
      <c r="E18" s="6">
        <f t="shared" si="16"/>
        <v>15</v>
      </c>
      <c r="F18" s="6">
        <f t="shared" si="16"/>
        <v>12</v>
      </c>
      <c r="G18" s="6">
        <f t="shared" si="16"/>
        <v>0</v>
      </c>
      <c r="H18" s="6">
        <f t="shared" si="16"/>
        <v>144</v>
      </c>
      <c r="J18" s="6" t="s">
        <v>15</v>
      </c>
      <c r="K18" s="6">
        <v>1</v>
      </c>
      <c r="L18" s="6">
        <v>193</v>
      </c>
      <c r="M18" s="26">
        <f>N18+O18+P18+Q18</f>
        <v>171</v>
      </c>
      <c r="N18" s="6">
        <v>15</v>
      </c>
      <c r="O18" s="6">
        <v>12</v>
      </c>
      <c r="P18" s="6"/>
      <c r="Q18" s="6">
        <v>144</v>
      </c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>
      <c r="A19" s="461" t="s">
        <v>16</v>
      </c>
      <c r="B19" s="464"/>
      <c r="C19" s="464"/>
      <c r="D19" s="464"/>
      <c r="E19" s="464"/>
      <c r="F19" s="464"/>
      <c r="G19" s="464"/>
      <c r="H19" s="465"/>
      <c r="J19" s="461" t="s">
        <v>16</v>
      </c>
      <c r="K19" s="462"/>
      <c r="L19" s="462"/>
      <c r="M19" s="462"/>
      <c r="N19" s="462"/>
      <c r="O19" s="462"/>
      <c r="P19" s="462"/>
      <c r="Q19" s="463"/>
      <c r="R19" s="461" t="s">
        <v>16</v>
      </c>
      <c r="S19" s="462"/>
      <c r="T19" s="462"/>
      <c r="U19" s="462"/>
      <c r="V19" s="462"/>
      <c r="W19" s="462"/>
      <c r="X19" s="462"/>
      <c r="Y19" s="463"/>
      <c r="Z19" s="296"/>
      <c r="AA19" s="461" t="s">
        <v>16</v>
      </c>
      <c r="AB19" s="462"/>
      <c r="AC19" s="462"/>
      <c r="AD19" s="462"/>
      <c r="AE19" s="462"/>
      <c r="AF19" s="462"/>
      <c r="AG19" s="462"/>
      <c r="AH19" s="463"/>
      <c r="AI19" s="296"/>
      <c r="AJ19" s="461" t="s">
        <v>16</v>
      </c>
      <c r="AK19" s="462"/>
      <c r="AL19" s="462"/>
      <c r="AM19" s="462"/>
      <c r="AN19" s="462"/>
      <c r="AO19" s="462"/>
      <c r="AP19" s="462"/>
      <c r="AQ19" s="463"/>
    </row>
    <row r="20" spans="1:43">
      <c r="A20" s="248" t="s">
        <v>18</v>
      </c>
      <c r="B20" s="27">
        <f>B23+B26+B29+B32+B35+B38</f>
        <v>512.29999999999995</v>
      </c>
      <c r="C20" s="26">
        <f t="shared" ref="C20:H21" si="17">C23+C26+C29+C32+C35+C38</f>
        <v>23496</v>
      </c>
      <c r="D20" s="26">
        <f t="shared" si="17"/>
        <v>20491</v>
      </c>
      <c r="E20" s="26">
        <f t="shared" si="17"/>
        <v>2969</v>
      </c>
      <c r="F20" s="26">
        <f t="shared" si="17"/>
        <v>3692</v>
      </c>
      <c r="G20" s="26">
        <f t="shared" si="17"/>
        <v>1329</v>
      </c>
      <c r="H20" s="26">
        <f t="shared" si="17"/>
        <v>12501</v>
      </c>
      <c r="J20" s="248" t="s">
        <v>18</v>
      </c>
      <c r="K20" s="27">
        <f t="shared" ref="K20:Q21" si="18">K23+K26+K29+K32+K35+K38</f>
        <v>162.80000000000001</v>
      </c>
      <c r="L20" s="26">
        <f t="shared" si="18"/>
        <v>5898</v>
      </c>
      <c r="M20" s="26">
        <f t="shared" si="18"/>
        <v>4934</v>
      </c>
      <c r="N20" s="26">
        <f t="shared" si="18"/>
        <v>469</v>
      </c>
      <c r="O20" s="26">
        <f t="shared" si="18"/>
        <v>811</v>
      </c>
      <c r="P20" s="26">
        <f t="shared" si="18"/>
        <v>569</v>
      </c>
      <c r="Q20" s="26">
        <f t="shared" si="18"/>
        <v>3085</v>
      </c>
      <c r="R20" s="248" t="s">
        <v>18</v>
      </c>
      <c r="S20" s="27">
        <f t="shared" ref="S20:Y21" si="19">S23+S26+S29+S32+S35+S38</f>
        <v>349.5</v>
      </c>
      <c r="T20" s="26">
        <f t="shared" si="19"/>
        <v>17598</v>
      </c>
      <c r="U20" s="26">
        <f t="shared" si="19"/>
        <v>15557</v>
      </c>
      <c r="V20" s="26">
        <f t="shared" si="19"/>
        <v>2500</v>
      </c>
      <c r="W20" s="26">
        <f t="shared" si="19"/>
        <v>2881</v>
      </c>
      <c r="X20" s="26">
        <f t="shared" si="19"/>
        <v>760</v>
      </c>
      <c r="Y20" s="26">
        <f t="shared" si="19"/>
        <v>9416</v>
      </c>
      <c r="Z20" s="1"/>
      <c r="AA20" s="248" t="s">
        <v>18</v>
      </c>
      <c r="AB20" s="27">
        <f>AB23+AB26+AB29+AB32+AB35+AB38</f>
        <v>84.3</v>
      </c>
      <c r="AC20" s="26">
        <f t="shared" ref="AC20:AH21" si="20">AC23+AC26+AC29+AC32+AC35+AC38</f>
        <v>6623</v>
      </c>
      <c r="AD20" s="26">
        <f t="shared" si="20"/>
        <v>5931</v>
      </c>
      <c r="AE20" s="26">
        <f t="shared" si="20"/>
        <v>2041</v>
      </c>
      <c r="AF20" s="26">
        <f t="shared" si="20"/>
        <v>523</v>
      </c>
      <c r="AG20" s="26">
        <f t="shared" si="20"/>
        <v>200</v>
      </c>
      <c r="AH20" s="26">
        <f t="shared" si="20"/>
        <v>3167</v>
      </c>
      <c r="AI20" s="1"/>
      <c r="AJ20" s="248" t="s">
        <v>18</v>
      </c>
      <c r="AK20" s="6">
        <f>AK23+AK26+AK29+AK32+AK35+AK38</f>
        <v>0</v>
      </c>
      <c r="AL20" s="26">
        <f t="shared" ref="AL20:AQ21" si="21">AL23+AL26+AL29+AL32+AL35+AL38</f>
        <v>0</v>
      </c>
      <c r="AM20" s="26">
        <f t="shared" si="21"/>
        <v>0</v>
      </c>
      <c r="AN20" s="26">
        <f t="shared" si="21"/>
        <v>0</v>
      </c>
      <c r="AO20" s="26">
        <f t="shared" si="21"/>
        <v>0</v>
      </c>
      <c r="AP20" s="26">
        <f t="shared" si="21"/>
        <v>0</v>
      </c>
      <c r="AQ20" s="26">
        <f t="shared" si="21"/>
        <v>0</v>
      </c>
    </row>
    <row r="21" spans="1:43">
      <c r="A21" s="18" t="s">
        <v>19</v>
      </c>
      <c r="B21" s="27">
        <f t="shared" ref="B21:H21" si="22">B24+B27+B30+B33+B36+B39</f>
        <v>340.8</v>
      </c>
      <c r="C21" s="27">
        <f t="shared" si="17"/>
        <v>15536</v>
      </c>
      <c r="D21" s="27">
        <f t="shared" si="17"/>
        <v>14333</v>
      </c>
      <c r="E21" s="27">
        <f t="shared" si="17"/>
        <v>1629</v>
      </c>
      <c r="F21" s="27">
        <f t="shared" si="22"/>
        <v>388</v>
      </c>
      <c r="G21" s="27">
        <f t="shared" si="22"/>
        <v>50</v>
      </c>
      <c r="H21" s="27">
        <f t="shared" si="22"/>
        <v>12266</v>
      </c>
      <c r="J21" s="18" t="s">
        <v>19</v>
      </c>
      <c r="K21" s="26">
        <f>K24+K27+K30+K33+K36+K39</f>
        <v>83.1</v>
      </c>
      <c r="L21" s="26">
        <f t="shared" si="18"/>
        <v>5635</v>
      </c>
      <c r="M21" s="26">
        <f>N21+O21+P21+Q21</f>
        <v>5059</v>
      </c>
      <c r="N21" s="26">
        <f t="shared" si="18"/>
        <v>531</v>
      </c>
      <c r="O21" s="26">
        <f t="shared" si="18"/>
        <v>294</v>
      </c>
      <c r="P21" s="26">
        <f t="shared" si="18"/>
        <v>18</v>
      </c>
      <c r="Q21" s="26">
        <f t="shared" si="18"/>
        <v>4216</v>
      </c>
      <c r="R21" s="248" t="s">
        <v>19</v>
      </c>
      <c r="S21" s="27">
        <f>S24+S27+S30+S33+S36+S39</f>
        <v>257.70000000000005</v>
      </c>
      <c r="T21" s="27">
        <f t="shared" si="19"/>
        <v>9901</v>
      </c>
      <c r="U21" s="27">
        <f>U24+U27+U30+U33+U36+U39</f>
        <v>9274</v>
      </c>
      <c r="V21" s="27">
        <f t="shared" si="19"/>
        <v>1098</v>
      </c>
      <c r="W21" s="27">
        <f t="shared" si="19"/>
        <v>94</v>
      </c>
      <c r="X21" s="27">
        <f t="shared" si="19"/>
        <v>32</v>
      </c>
      <c r="Y21" s="27">
        <f t="shared" si="19"/>
        <v>8050</v>
      </c>
      <c r="Z21" s="1"/>
      <c r="AA21" s="18" t="s">
        <v>19</v>
      </c>
      <c r="AB21" s="27">
        <f>AB24+AB27+AB30+AB33+AB36+AB39</f>
        <v>74.5</v>
      </c>
      <c r="AC21" s="27">
        <f t="shared" si="20"/>
        <v>4181</v>
      </c>
      <c r="AD21" s="27">
        <f>AD24+AD27+AD30+AD33+AD36+AD39</f>
        <v>4015</v>
      </c>
      <c r="AE21" s="27">
        <f t="shared" si="20"/>
        <v>751</v>
      </c>
      <c r="AF21" s="27">
        <f t="shared" si="20"/>
        <v>5</v>
      </c>
      <c r="AG21" s="27">
        <f t="shared" si="20"/>
        <v>25</v>
      </c>
      <c r="AH21" s="27">
        <f t="shared" si="20"/>
        <v>3234</v>
      </c>
      <c r="AI21" s="1"/>
      <c r="AJ21" s="18" t="s">
        <v>19</v>
      </c>
      <c r="AK21" s="6">
        <f>AK24+AK27+AK30+AK36+AK39</f>
        <v>0</v>
      </c>
      <c r="AL21" s="27">
        <f t="shared" si="21"/>
        <v>0</v>
      </c>
      <c r="AM21" s="27">
        <f>AM24+AM27+AM30+AM33+AM36+AM39</f>
        <v>0</v>
      </c>
      <c r="AN21" s="27">
        <f t="shared" si="21"/>
        <v>0</v>
      </c>
      <c r="AO21" s="27">
        <f t="shared" si="21"/>
        <v>0</v>
      </c>
      <c r="AP21" s="27">
        <f t="shared" si="21"/>
        <v>0</v>
      </c>
      <c r="AQ21" s="27">
        <f t="shared" si="21"/>
        <v>0</v>
      </c>
    </row>
    <row r="22" spans="1:43">
      <c r="A22" s="248" t="s">
        <v>20</v>
      </c>
      <c r="B22" s="26">
        <f t="shared" ref="B22:H22" si="23">B21/B20*100</f>
        <v>66.523521374194814</v>
      </c>
      <c r="C22" s="26">
        <f t="shared" si="23"/>
        <v>66.121893088185217</v>
      </c>
      <c r="D22" s="26">
        <f t="shared" si="23"/>
        <v>69.947781953052555</v>
      </c>
      <c r="E22" s="26">
        <f t="shared" si="23"/>
        <v>54.866958571909727</v>
      </c>
      <c r="F22" s="26">
        <f t="shared" si="23"/>
        <v>10.509209100758396</v>
      </c>
      <c r="G22" s="26">
        <f t="shared" si="23"/>
        <v>3.7622272385252074</v>
      </c>
      <c r="H22" s="26">
        <f t="shared" si="23"/>
        <v>98.120150387968962</v>
      </c>
      <c r="J22" s="248" t="s">
        <v>20</v>
      </c>
      <c r="K22" s="26">
        <f t="shared" ref="K22:Q22" si="24">K21/K20*100</f>
        <v>51.044226044226036</v>
      </c>
      <c r="L22" s="26">
        <f t="shared" si="24"/>
        <v>95.540861308918281</v>
      </c>
      <c r="M22" s="26">
        <f t="shared" si="24"/>
        <v>102.5334414268342</v>
      </c>
      <c r="N22" s="26">
        <f t="shared" si="24"/>
        <v>113.21961620469084</v>
      </c>
      <c r="O22" s="26">
        <f t="shared" si="24"/>
        <v>36.251541307028361</v>
      </c>
      <c r="P22" s="26">
        <f t="shared" si="24"/>
        <v>3.1634446397188052</v>
      </c>
      <c r="Q22" s="26">
        <f t="shared" si="24"/>
        <v>136.66126418152351</v>
      </c>
      <c r="R22" s="248" t="s">
        <v>20</v>
      </c>
      <c r="S22" s="26">
        <f t="shared" ref="S22:Y22" si="25">S21/S20*100</f>
        <v>73.733905579399149</v>
      </c>
      <c r="T22" s="26">
        <f t="shared" si="25"/>
        <v>56.262075235822252</v>
      </c>
      <c r="U22" s="26">
        <f t="shared" si="25"/>
        <v>59.613035932377713</v>
      </c>
      <c r="V22" s="26">
        <f t="shared" si="25"/>
        <v>43.919999999999995</v>
      </c>
      <c r="W22" s="26">
        <f t="shared" si="25"/>
        <v>3.2627559875043386</v>
      </c>
      <c r="X22" s="26">
        <f t="shared" si="25"/>
        <v>4.2105263157894735</v>
      </c>
      <c r="Y22" s="26">
        <f t="shared" si="25"/>
        <v>85.492778249787591</v>
      </c>
      <c r="Z22" s="113"/>
      <c r="AA22" s="248" t="s">
        <v>20</v>
      </c>
      <c r="AB22" s="27">
        <f t="shared" ref="AB22:AH22" si="26">AB21/AB20*100</f>
        <v>88.374851720047459</v>
      </c>
      <c r="AC22" s="26">
        <f t="shared" si="26"/>
        <v>63.128491620111724</v>
      </c>
      <c r="AD22" s="26">
        <f t="shared" si="26"/>
        <v>67.695161018378016</v>
      </c>
      <c r="AE22" s="26">
        <f t="shared" si="26"/>
        <v>36.795688388045079</v>
      </c>
      <c r="AF22" s="26">
        <f t="shared" si="26"/>
        <v>0.95602294455066927</v>
      </c>
      <c r="AG22" s="26">
        <f t="shared" si="26"/>
        <v>12.5</v>
      </c>
      <c r="AH22" s="26">
        <f t="shared" si="26"/>
        <v>102.11556678244395</v>
      </c>
      <c r="AI22" s="113"/>
      <c r="AJ22" s="248" t="s">
        <v>20</v>
      </c>
      <c r="AK22" s="26" t="e">
        <f>AK21/AK20*100</f>
        <v>#DIV/0!</v>
      </c>
      <c r="AL22" s="26" t="e">
        <f>AL21/AL20*100</f>
        <v>#DIV/0!</v>
      </c>
      <c r="AM22" s="26" t="e">
        <f>AM21/AM20*100</f>
        <v>#DIV/0!</v>
      </c>
      <c r="AN22" s="26">
        <v>0</v>
      </c>
      <c r="AO22" s="26" t="e">
        <f>AO21/AO20*100</f>
        <v>#DIV/0!</v>
      </c>
      <c r="AP22" s="26" t="e">
        <f>AP21/AP20*100</f>
        <v>#DIV/0!</v>
      </c>
      <c r="AQ22" s="26" t="e">
        <f>AQ21/AQ20*100</f>
        <v>#DIV/0!</v>
      </c>
    </row>
    <row r="23" spans="1:43">
      <c r="A23" s="6" t="s">
        <v>21</v>
      </c>
      <c r="B23" s="27">
        <f t="shared" ref="B23:H23" si="27">K23+S23+AK23</f>
        <v>113.3</v>
      </c>
      <c r="C23" s="27">
        <f t="shared" si="27"/>
        <v>7544</v>
      </c>
      <c r="D23" s="27">
        <f t="shared" si="27"/>
        <v>6401</v>
      </c>
      <c r="E23" s="27">
        <f t="shared" si="27"/>
        <v>1857</v>
      </c>
      <c r="F23" s="27">
        <f t="shared" si="27"/>
        <v>600</v>
      </c>
      <c r="G23" s="27">
        <f t="shared" si="27"/>
        <v>173</v>
      </c>
      <c r="H23" s="27">
        <f t="shared" si="27"/>
        <v>3771</v>
      </c>
      <c r="J23" s="6" t="s">
        <v>21</v>
      </c>
      <c r="K23" s="6">
        <v>43.3</v>
      </c>
      <c r="L23" s="6">
        <v>1987</v>
      </c>
      <c r="M23" s="6">
        <f>N23+O23+P23+Q23</f>
        <v>1412</v>
      </c>
      <c r="N23" s="6">
        <v>116</v>
      </c>
      <c r="O23" s="6">
        <v>223</v>
      </c>
      <c r="P23" s="6">
        <v>5</v>
      </c>
      <c r="Q23" s="6">
        <v>1068</v>
      </c>
      <c r="R23" s="6" t="s">
        <v>21</v>
      </c>
      <c r="S23" s="6">
        <v>70</v>
      </c>
      <c r="T23" s="26">
        <v>5557</v>
      </c>
      <c r="U23" s="6">
        <f>V23+W23+X23+Y23</f>
        <v>4989</v>
      </c>
      <c r="V23" s="6">
        <v>1741</v>
      </c>
      <c r="W23" s="6">
        <v>377</v>
      </c>
      <c r="X23" s="6">
        <v>168</v>
      </c>
      <c r="Y23" s="6">
        <v>2703</v>
      </c>
      <c r="Z23" s="1"/>
      <c r="AA23" s="6" t="s">
        <v>21</v>
      </c>
      <c r="AB23" s="27">
        <v>65.3</v>
      </c>
      <c r="AC23" s="6">
        <v>5144</v>
      </c>
      <c r="AD23" s="6">
        <f>AE23+AF23+AG23+AH23</f>
        <v>4637</v>
      </c>
      <c r="AE23" s="6">
        <v>1699</v>
      </c>
      <c r="AF23" s="6">
        <v>310</v>
      </c>
      <c r="AG23" s="6">
        <v>156</v>
      </c>
      <c r="AH23" s="6">
        <v>2472</v>
      </c>
      <c r="AI23" s="1"/>
      <c r="AJ23" s="6" t="s">
        <v>21</v>
      </c>
      <c r="AK23" s="6"/>
      <c r="AL23" s="6"/>
      <c r="AM23" s="6"/>
      <c r="AN23" s="6"/>
      <c r="AO23" s="6"/>
      <c r="AP23" s="6"/>
      <c r="AQ23" s="6"/>
    </row>
    <row r="24" spans="1:43">
      <c r="A24" s="6" t="s">
        <v>22</v>
      </c>
      <c r="B24" s="27">
        <f>K24+S24+AK24</f>
        <v>105.5</v>
      </c>
      <c r="C24" s="6">
        <f>L24+T24+AL24</f>
        <v>6777</v>
      </c>
      <c r="D24" s="6">
        <f>E24+F24+G24+H24</f>
        <v>6394</v>
      </c>
      <c r="E24" s="6">
        <f>N24+V24+AN24</f>
        <v>1050</v>
      </c>
      <c r="F24" s="6">
        <f>O24+W24+AO24</f>
        <v>119</v>
      </c>
      <c r="G24" s="6">
        <f>P24+X24+AP24</f>
        <v>33</v>
      </c>
      <c r="H24" s="6">
        <f>Q24+Y24+AQ24</f>
        <v>5192</v>
      </c>
      <c r="J24" s="6" t="s">
        <v>22</v>
      </c>
      <c r="K24" s="6">
        <v>33.200000000000003</v>
      </c>
      <c r="L24" s="6">
        <v>2712</v>
      </c>
      <c r="M24" s="26">
        <f>N24+O24+P24+Q24</f>
        <v>2493</v>
      </c>
      <c r="N24" s="6">
        <v>299</v>
      </c>
      <c r="O24" s="6">
        <v>114</v>
      </c>
      <c r="P24" s="6">
        <v>8</v>
      </c>
      <c r="Q24" s="6">
        <v>2072</v>
      </c>
      <c r="R24" s="6" t="s">
        <v>22</v>
      </c>
      <c r="S24" s="27">
        <v>72.3</v>
      </c>
      <c r="T24" s="6">
        <v>4065</v>
      </c>
      <c r="U24" s="6">
        <f>V24+W24+X24+Y24</f>
        <v>3901</v>
      </c>
      <c r="V24" s="6">
        <v>751</v>
      </c>
      <c r="W24" s="6">
        <v>5</v>
      </c>
      <c r="X24" s="6">
        <v>25</v>
      </c>
      <c r="Y24" s="6">
        <v>3120</v>
      </c>
      <c r="Z24" s="1"/>
      <c r="AA24" s="6" t="s">
        <v>22</v>
      </c>
      <c r="AB24" s="27">
        <v>70.5</v>
      </c>
      <c r="AC24" s="6">
        <v>3980</v>
      </c>
      <c r="AD24" s="6">
        <f>AE24+AF24+AG24+AH24</f>
        <v>3823</v>
      </c>
      <c r="AE24" s="6">
        <v>751</v>
      </c>
      <c r="AF24" s="6">
        <v>5</v>
      </c>
      <c r="AG24" s="6">
        <v>25</v>
      </c>
      <c r="AH24" s="6">
        <v>3042</v>
      </c>
      <c r="AI24" s="1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26">
        <f t="shared" ref="B25:H25" si="28">B24/B23*100</f>
        <v>93.115622241835837</v>
      </c>
      <c r="C25" s="26">
        <f t="shared" si="28"/>
        <v>89.832979851537644</v>
      </c>
      <c r="D25" s="26">
        <f t="shared" si="28"/>
        <v>99.890642087173873</v>
      </c>
      <c r="E25" s="26">
        <f t="shared" si="28"/>
        <v>56.54281098546042</v>
      </c>
      <c r="F25" s="26">
        <f t="shared" si="28"/>
        <v>19.833333333333332</v>
      </c>
      <c r="G25" s="26">
        <f t="shared" si="28"/>
        <v>19.075144508670519</v>
      </c>
      <c r="H25" s="26">
        <f t="shared" si="28"/>
        <v>137.68231238398303</v>
      </c>
      <c r="J25" s="6" t="s">
        <v>12</v>
      </c>
      <c r="K25" s="26">
        <f t="shared" ref="K25:Q25" si="29">K24/K23*100</f>
        <v>76.674364896073911</v>
      </c>
      <c r="L25" s="26">
        <f t="shared" si="29"/>
        <v>136.48716658278812</v>
      </c>
      <c r="M25" s="26">
        <f t="shared" si="29"/>
        <v>176.55807365439094</v>
      </c>
      <c r="N25" s="26">
        <f t="shared" si="29"/>
        <v>257.75862068965517</v>
      </c>
      <c r="O25" s="26">
        <f t="shared" si="29"/>
        <v>51.121076233183857</v>
      </c>
      <c r="P25" s="26">
        <f t="shared" si="29"/>
        <v>160</v>
      </c>
      <c r="Q25" s="26">
        <f t="shared" si="29"/>
        <v>194.00749063670412</v>
      </c>
      <c r="R25" s="6" t="s">
        <v>12</v>
      </c>
      <c r="S25" s="26">
        <f t="shared" ref="S25:Y25" si="30">S24/S23*100</f>
        <v>103.28571428571429</v>
      </c>
      <c r="T25" s="26">
        <f t="shared" si="30"/>
        <v>73.150980745006294</v>
      </c>
      <c r="U25" s="26">
        <f t="shared" si="30"/>
        <v>78.192022449388659</v>
      </c>
      <c r="V25" s="26">
        <f t="shared" si="30"/>
        <v>43.13612866168868</v>
      </c>
      <c r="W25" s="26">
        <f t="shared" si="30"/>
        <v>1.3262599469496021</v>
      </c>
      <c r="X25" s="26">
        <f t="shared" si="30"/>
        <v>14.880952380952381</v>
      </c>
      <c r="Y25" s="26">
        <f t="shared" si="30"/>
        <v>115.42730299667036</v>
      </c>
      <c r="Z25" s="113"/>
      <c r="AA25" s="6" t="s">
        <v>12</v>
      </c>
      <c r="AB25" s="27">
        <f t="shared" ref="AB25:AH25" si="31">AB24/AB23*100</f>
        <v>107.96324655436447</v>
      </c>
      <c r="AC25" s="26">
        <f t="shared" si="31"/>
        <v>77.371695178849137</v>
      </c>
      <c r="AD25" s="26">
        <f t="shared" si="31"/>
        <v>82.445546689670053</v>
      </c>
      <c r="AE25" s="26">
        <f t="shared" si="31"/>
        <v>44.20247204237787</v>
      </c>
      <c r="AF25" s="26">
        <f t="shared" si="31"/>
        <v>1.6129032258064515</v>
      </c>
      <c r="AG25" s="26">
        <f t="shared" si="31"/>
        <v>16.025641025641026</v>
      </c>
      <c r="AH25" s="26">
        <f t="shared" si="31"/>
        <v>123.05825242718447</v>
      </c>
      <c r="AI25" s="113"/>
      <c r="AJ25" s="6" t="s">
        <v>12</v>
      </c>
      <c r="AK25" s="26" t="e">
        <f>AK24/AK23*100</f>
        <v>#DIV/0!</v>
      </c>
      <c r="AL25" s="26" t="e">
        <f>AL24/AL23*100</f>
        <v>#DIV/0!</v>
      </c>
      <c r="AM25" s="26" t="e">
        <f>AM24/AM23*100</f>
        <v>#DIV/0!</v>
      </c>
      <c r="AN25" s="26">
        <v>0</v>
      </c>
      <c r="AO25" s="26" t="e">
        <f>AO24/AO23*100</f>
        <v>#DIV/0!</v>
      </c>
      <c r="AP25" s="26" t="e">
        <f>AP24/AP23*100</f>
        <v>#DIV/0!</v>
      </c>
      <c r="AQ25" s="26" t="e">
        <f>AQ24/AQ23*100</f>
        <v>#DIV/0!</v>
      </c>
    </row>
    <row r="26" spans="1:43">
      <c r="A26" s="6" t="s">
        <v>23</v>
      </c>
      <c r="B26" s="27">
        <f t="shared" ref="B26:H26" si="32">K26+S26+AK26</f>
        <v>62.800000000000004</v>
      </c>
      <c r="C26" s="27">
        <f t="shared" si="32"/>
        <v>2757</v>
      </c>
      <c r="D26" s="27">
        <f t="shared" si="32"/>
        <v>2071</v>
      </c>
      <c r="E26" s="27">
        <f t="shared" si="32"/>
        <v>267</v>
      </c>
      <c r="F26" s="27">
        <f t="shared" si="32"/>
        <v>551</v>
      </c>
      <c r="G26" s="27">
        <f t="shared" si="32"/>
        <v>108</v>
      </c>
      <c r="H26" s="27">
        <f t="shared" si="32"/>
        <v>1145</v>
      </c>
      <c r="J26" s="6" t="s">
        <v>23</v>
      </c>
      <c r="K26" s="6">
        <v>23.1</v>
      </c>
      <c r="L26" s="6">
        <v>941</v>
      </c>
      <c r="M26" s="6">
        <f>N26+O26+P26+Q26</f>
        <v>469</v>
      </c>
      <c r="N26" s="6">
        <v>107</v>
      </c>
      <c r="O26" s="6">
        <v>137</v>
      </c>
      <c r="P26" s="6">
        <v>39</v>
      </c>
      <c r="Q26" s="6">
        <v>186</v>
      </c>
      <c r="R26" s="6" t="s">
        <v>23</v>
      </c>
      <c r="S26" s="6">
        <v>39.700000000000003</v>
      </c>
      <c r="T26" s="26">
        <v>1816</v>
      </c>
      <c r="U26" s="6">
        <f>V26+W26+X26+Y26</f>
        <v>1602</v>
      </c>
      <c r="V26" s="6">
        <v>160</v>
      </c>
      <c r="W26" s="6">
        <v>414</v>
      </c>
      <c r="X26" s="6">
        <v>69</v>
      </c>
      <c r="Y26" s="6">
        <v>959</v>
      </c>
      <c r="Z26" s="1"/>
      <c r="AA26" s="6" t="s">
        <v>23</v>
      </c>
      <c r="AB26" s="27">
        <v>12.1</v>
      </c>
      <c r="AC26" s="6">
        <v>503</v>
      </c>
      <c r="AD26" s="6">
        <f>AE26+AF26+AG26+AH26</f>
        <v>380</v>
      </c>
      <c r="AE26" s="6">
        <v>77</v>
      </c>
      <c r="AF26" s="6">
        <v>56</v>
      </c>
      <c r="AG26" s="6">
        <v>17</v>
      </c>
      <c r="AH26" s="6">
        <v>230</v>
      </c>
      <c r="AI26" s="1"/>
      <c r="AJ26" s="6" t="s">
        <v>23</v>
      </c>
      <c r="AK26" s="6"/>
      <c r="AL26" s="6"/>
      <c r="AM26" s="6"/>
      <c r="AN26" s="6"/>
      <c r="AO26" s="6"/>
      <c r="AP26" s="6"/>
      <c r="AQ26" s="6"/>
    </row>
    <row r="27" spans="1:43">
      <c r="A27" s="6" t="s">
        <v>24</v>
      </c>
      <c r="B27" s="27">
        <f>K27+S27+AK27</f>
        <v>28.9</v>
      </c>
      <c r="C27" s="6">
        <f>L27+T27+AL27</f>
        <v>1284</v>
      </c>
      <c r="D27" s="6">
        <f>E27+F27+G27+H27</f>
        <v>1183</v>
      </c>
      <c r="E27" s="6">
        <f>N27+V27+AN27</f>
        <v>11</v>
      </c>
      <c r="F27" s="6">
        <f>O27+W27+AO27</f>
        <v>9</v>
      </c>
      <c r="G27" s="6">
        <f>P27+X27+AP27</f>
        <v>4</v>
      </c>
      <c r="H27" s="6">
        <f>Q27+Y27+AQ27</f>
        <v>1159</v>
      </c>
      <c r="J27" s="6" t="s">
        <v>24</v>
      </c>
      <c r="K27" s="6">
        <v>13.9</v>
      </c>
      <c r="L27" s="6">
        <v>529</v>
      </c>
      <c r="M27" s="26">
        <f>N27+O27+P27+Q27</f>
        <v>473</v>
      </c>
      <c r="N27" s="6">
        <v>11</v>
      </c>
      <c r="O27" s="6">
        <v>9</v>
      </c>
      <c r="P27" s="6">
        <v>4</v>
      </c>
      <c r="Q27" s="6">
        <v>449</v>
      </c>
      <c r="R27" s="6" t="s">
        <v>24</v>
      </c>
      <c r="S27" s="6">
        <v>15</v>
      </c>
      <c r="T27" s="6">
        <v>755</v>
      </c>
      <c r="U27" s="6">
        <f>V27+W27+X27+Y27</f>
        <v>710</v>
      </c>
      <c r="V27" s="6"/>
      <c r="W27" s="6"/>
      <c r="X27" s="6"/>
      <c r="Y27" s="6">
        <v>710</v>
      </c>
      <c r="Z27" s="1"/>
      <c r="AA27" s="6" t="s">
        <v>24</v>
      </c>
      <c r="AB27" s="27"/>
      <c r="AC27" s="6"/>
      <c r="AD27" s="6"/>
      <c r="AE27" s="6"/>
      <c r="AF27" s="6"/>
      <c r="AG27" s="6"/>
      <c r="AH27" s="6"/>
      <c r="AI27" s="1"/>
      <c r="AJ27" s="6" t="s">
        <v>24</v>
      </c>
      <c r="AK27" s="6"/>
      <c r="AL27" s="6"/>
      <c r="AM27" s="6"/>
      <c r="AN27" s="6"/>
      <c r="AO27" s="6"/>
      <c r="AP27" s="6"/>
      <c r="AQ27" s="6"/>
    </row>
    <row r="28" spans="1:43">
      <c r="A28" s="6" t="s">
        <v>12</v>
      </c>
      <c r="B28" s="26">
        <f t="shared" ref="B28:H28" si="33">B27/B26*100</f>
        <v>46.01910828025477</v>
      </c>
      <c r="C28" s="26">
        <f t="shared" si="33"/>
        <v>46.572361262241571</v>
      </c>
      <c r="D28" s="26">
        <f t="shared" si="33"/>
        <v>57.122163206180588</v>
      </c>
      <c r="E28" s="26">
        <f t="shared" si="33"/>
        <v>4.119850187265917</v>
      </c>
      <c r="F28" s="26">
        <f t="shared" si="33"/>
        <v>1.6333938294010888</v>
      </c>
      <c r="G28" s="26">
        <f t="shared" si="33"/>
        <v>3.7037037037037033</v>
      </c>
      <c r="H28" s="26">
        <f t="shared" si="33"/>
        <v>101.2227074235808</v>
      </c>
      <c r="J28" s="6" t="s">
        <v>12</v>
      </c>
      <c r="K28" s="26">
        <f t="shared" ref="K28:Q28" si="34">K27/K26*100</f>
        <v>60.17316017316017</v>
      </c>
      <c r="L28" s="26">
        <f t="shared" si="34"/>
        <v>56.216790648246551</v>
      </c>
      <c r="M28" s="26">
        <f t="shared" si="34"/>
        <v>100.85287846481876</v>
      </c>
      <c r="N28" s="26">
        <f t="shared" si="34"/>
        <v>10.2803738317757</v>
      </c>
      <c r="O28" s="26">
        <f t="shared" si="34"/>
        <v>6.5693430656934311</v>
      </c>
      <c r="P28" s="26">
        <v>0</v>
      </c>
      <c r="Q28" s="26">
        <f t="shared" si="34"/>
        <v>241.3978494623656</v>
      </c>
      <c r="R28" s="6" t="s">
        <v>12</v>
      </c>
      <c r="S28" s="26">
        <f t="shared" ref="S28:Y28" si="35">S27/S26*100</f>
        <v>37.783375314861459</v>
      </c>
      <c r="T28" s="26">
        <f t="shared" si="35"/>
        <v>41.574889867841406</v>
      </c>
      <c r="U28" s="26">
        <f t="shared" si="35"/>
        <v>44.319600499375781</v>
      </c>
      <c r="V28" s="26">
        <f t="shared" si="35"/>
        <v>0</v>
      </c>
      <c r="W28" s="26">
        <f t="shared" si="35"/>
        <v>0</v>
      </c>
      <c r="X28" s="26">
        <f t="shared" si="35"/>
        <v>0</v>
      </c>
      <c r="Y28" s="26">
        <f t="shared" si="35"/>
        <v>74.035453597497394</v>
      </c>
      <c r="Z28" s="113"/>
      <c r="AA28" s="6" t="s">
        <v>12</v>
      </c>
      <c r="AB28" s="27">
        <f t="shared" ref="AB28:AH28" si="36">AB27/AB26*100</f>
        <v>0</v>
      </c>
      <c r="AC28" s="26">
        <f t="shared" si="36"/>
        <v>0</v>
      </c>
      <c r="AD28" s="26">
        <f t="shared" si="36"/>
        <v>0</v>
      </c>
      <c r="AE28" s="26">
        <f t="shared" si="36"/>
        <v>0</v>
      </c>
      <c r="AF28" s="26">
        <f t="shared" si="36"/>
        <v>0</v>
      </c>
      <c r="AG28" s="26">
        <f t="shared" si="36"/>
        <v>0</v>
      </c>
      <c r="AH28" s="26">
        <f t="shared" si="36"/>
        <v>0</v>
      </c>
      <c r="AI28" s="113"/>
      <c r="AJ28" s="6" t="s">
        <v>12</v>
      </c>
      <c r="AK28" s="26" t="e">
        <f>AK27/AK26*100</f>
        <v>#DIV/0!</v>
      </c>
      <c r="AL28" s="26" t="e">
        <f>AL27/AL26*100</f>
        <v>#DIV/0!</v>
      </c>
      <c r="AM28" s="26" t="e">
        <f>AM27/AM26*100</f>
        <v>#DIV/0!</v>
      </c>
      <c r="AN28" s="26">
        <v>0</v>
      </c>
      <c r="AO28" s="26" t="e">
        <f>AO27/AO26*100</f>
        <v>#DIV/0!</v>
      </c>
      <c r="AP28" s="26">
        <v>0</v>
      </c>
      <c r="AQ28" s="26" t="e">
        <f>AQ27/AQ26*100</f>
        <v>#DIV/0!</v>
      </c>
    </row>
    <row r="29" spans="1:43">
      <c r="A29" s="6" t="s">
        <v>25</v>
      </c>
      <c r="B29" s="27">
        <f t="shared" ref="B29:H29" si="37">K29+S29+AK29</f>
        <v>66.7</v>
      </c>
      <c r="C29" s="27">
        <f t="shared" si="37"/>
        <v>2576</v>
      </c>
      <c r="D29" s="27">
        <f t="shared" si="37"/>
        <v>2302</v>
      </c>
      <c r="E29" s="27">
        <f t="shared" si="37"/>
        <v>198</v>
      </c>
      <c r="F29" s="27">
        <f t="shared" si="37"/>
        <v>502</v>
      </c>
      <c r="G29" s="27">
        <f t="shared" si="37"/>
        <v>164</v>
      </c>
      <c r="H29" s="27">
        <f t="shared" si="37"/>
        <v>1438</v>
      </c>
      <c r="J29" s="6" t="s">
        <v>25</v>
      </c>
      <c r="K29" s="6">
        <v>22.2</v>
      </c>
      <c r="L29" s="6">
        <v>439</v>
      </c>
      <c r="M29" s="6">
        <f>N29+O29+P29+Q29</f>
        <v>380</v>
      </c>
      <c r="N29" s="6">
        <v>14</v>
      </c>
      <c r="O29" s="6">
        <v>44</v>
      </c>
      <c r="P29" s="6">
        <v>82</v>
      </c>
      <c r="Q29" s="6">
        <v>240</v>
      </c>
      <c r="R29" s="6" t="s">
        <v>25</v>
      </c>
      <c r="S29" s="6">
        <v>44.5</v>
      </c>
      <c r="T29" s="26">
        <v>2137</v>
      </c>
      <c r="U29" s="6">
        <f>V29+W29+X29+Y29</f>
        <v>1922</v>
      </c>
      <c r="V29" s="6">
        <v>184</v>
      </c>
      <c r="W29" s="6">
        <v>458</v>
      </c>
      <c r="X29" s="6">
        <v>82</v>
      </c>
      <c r="Y29" s="6">
        <v>1198</v>
      </c>
      <c r="Z29" s="1"/>
      <c r="AA29" s="6" t="s">
        <v>25</v>
      </c>
      <c r="AB29" s="27">
        <v>2.5</v>
      </c>
      <c r="AC29" s="6">
        <v>137</v>
      </c>
      <c r="AD29" s="6">
        <f>AE29+AF29+AG29+AH29</f>
        <v>120</v>
      </c>
      <c r="AE29" s="6">
        <v>24</v>
      </c>
      <c r="AF29" s="6">
        <v>18</v>
      </c>
      <c r="AG29" s="6">
        <v>5</v>
      </c>
      <c r="AH29" s="6">
        <v>73</v>
      </c>
      <c r="AI29" s="1"/>
      <c r="AJ29" s="6" t="s">
        <v>25</v>
      </c>
      <c r="AK29" s="6"/>
      <c r="AL29" s="6"/>
      <c r="AM29" s="6"/>
      <c r="AN29" s="6"/>
      <c r="AO29" s="6"/>
      <c r="AP29" s="6"/>
      <c r="AQ29" s="6"/>
    </row>
    <row r="30" spans="1:43">
      <c r="A30" s="6" t="s">
        <v>26</v>
      </c>
      <c r="B30" s="27">
        <f>K30+S30+AK30</f>
        <v>28</v>
      </c>
      <c r="C30" s="6">
        <f>L30+T30+AL30</f>
        <v>1079</v>
      </c>
      <c r="D30" s="6">
        <f>E30+F30+G30+H30</f>
        <v>988</v>
      </c>
      <c r="E30" s="6">
        <f>N30+V30+AN30</f>
        <v>39</v>
      </c>
      <c r="F30" s="6">
        <f>O30+W30+AO30</f>
        <v>36</v>
      </c>
      <c r="G30" s="6">
        <f>P30+X30+AP30</f>
        <v>0</v>
      </c>
      <c r="H30" s="6">
        <f>Q30+Y30+AQ30</f>
        <v>913</v>
      </c>
      <c r="J30" s="6" t="s">
        <v>26</v>
      </c>
      <c r="K30" s="6">
        <v>6</v>
      </c>
      <c r="L30" s="6">
        <v>226</v>
      </c>
      <c r="M30" s="26">
        <f>N30+O30+P30+Q30</f>
        <v>199</v>
      </c>
      <c r="N30" s="6">
        <v>22</v>
      </c>
      <c r="O30" s="6">
        <v>16</v>
      </c>
      <c r="P30" s="6"/>
      <c r="Q30" s="6">
        <v>161</v>
      </c>
      <c r="R30" s="6" t="s">
        <v>26</v>
      </c>
      <c r="S30" s="27">
        <v>22</v>
      </c>
      <c r="T30" s="6">
        <v>853</v>
      </c>
      <c r="U30" s="6">
        <f>V30+W30+X30+Y30</f>
        <v>789</v>
      </c>
      <c r="V30" s="6">
        <v>17</v>
      </c>
      <c r="W30" s="6">
        <v>20</v>
      </c>
      <c r="X30" s="6"/>
      <c r="Y30" s="6">
        <v>752</v>
      </c>
      <c r="Z30" s="1"/>
      <c r="AA30" s="6" t="s">
        <v>26</v>
      </c>
      <c r="AB30" s="27"/>
      <c r="AC30" s="6"/>
      <c r="AD30" s="6"/>
      <c r="AE30" s="6"/>
      <c r="AF30" s="6"/>
      <c r="AG30" s="6"/>
      <c r="AH30" s="6"/>
      <c r="AI30" s="1"/>
      <c r="AJ30" s="6" t="s">
        <v>26</v>
      </c>
      <c r="AK30" s="6"/>
      <c r="AL30" s="6"/>
      <c r="AM30" s="6"/>
      <c r="AN30" s="6"/>
      <c r="AO30" s="6"/>
      <c r="AP30" s="6"/>
      <c r="AQ30" s="6"/>
    </row>
    <row r="31" spans="1:43">
      <c r="A31" s="6" t="s">
        <v>12</v>
      </c>
      <c r="B31" s="26">
        <f t="shared" ref="B31:H31" si="38">B30/B29*100</f>
        <v>41.979010494752622</v>
      </c>
      <c r="C31" s="26">
        <f t="shared" si="38"/>
        <v>41.886645962732921</v>
      </c>
      <c r="D31" s="26">
        <f t="shared" si="38"/>
        <v>42.919200695047785</v>
      </c>
      <c r="E31" s="26">
        <f t="shared" si="38"/>
        <v>19.696969696969695</v>
      </c>
      <c r="F31" s="26">
        <f t="shared" si="38"/>
        <v>7.1713147410358573</v>
      </c>
      <c r="G31" s="26">
        <f t="shared" si="38"/>
        <v>0</v>
      </c>
      <c r="H31" s="26">
        <f t="shared" si="38"/>
        <v>63.490959666203061</v>
      </c>
      <c r="J31" s="6" t="s">
        <v>12</v>
      </c>
      <c r="K31" s="26">
        <f t="shared" ref="K31:Q31" si="39">K30/K29*100</f>
        <v>27.027027027027028</v>
      </c>
      <c r="L31" s="26">
        <f t="shared" si="39"/>
        <v>51.48063781321185</v>
      </c>
      <c r="M31" s="26">
        <f t="shared" si="39"/>
        <v>52.368421052631575</v>
      </c>
      <c r="N31" s="26">
        <f t="shared" si="39"/>
        <v>157.14285714285714</v>
      </c>
      <c r="O31" s="26">
        <f t="shared" si="39"/>
        <v>36.363636363636367</v>
      </c>
      <c r="P31" s="26">
        <f t="shared" si="39"/>
        <v>0</v>
      </c>
      <c r="Q31" s="26">
        <f t="shared" si="39"/>
        <v>67.083333333333329</v>
      </c>
      <c r="R31" s="6" t="s">
        <v>12</v>
      </c>
      <c r="S31" s="26">
        <f t="shared" ref="S31:Y31" si="40">S30/S29*100</f>
        <v>49.438202247191008</v>
      </c>
      <c r="T31" s="26">
        <f t="shared" si="40"/>
        <v>39.915769770706596</v>
      </c>
      <c r="U31" s="26">
        <f t="shared" si="40"/>
        <v>41.05098855359001</v>
      </c>
      <c r="V31" s="26">
        <f t="shared" si="40"/>
        <v>9.2391304347826075</v>
      </c>
      <c r="W31" s="26">
        <f t="shared" si="40"/>
        <v>4.3668122270742353</v>
      </c>
      <c r="X31" s="26">
        <f t="shared" si="40"/>
        <v>0</v>
      </c>
      <c r="Y31" s="26">
        <f t="shared" si="40"/>
        <v>62.771285475792993</v>
      </c>
      <c r="Z31" s="113"/>
      <c r="AA31" s="6" t="s">
        <v>12</v>
      </c>
      <c r="AB31" s="27">
        <f t="shared" ref="AB31:AH31" si="41">AB30/AB29*100</f>
        <v>0</v>
      </c>
      <c r="AC31" s="26">
        <f t="shared" si="41"/>
        <v>0</v>
      </c>
      <c r="AD31" s="26">
        <f t="shared" si="41"/>
        <v>0</v>
      </c>
      <c r="AE31" s="26">
        <f t="shared" si="41"/>
        <v>0</v>
      </c>
      <c r="AF31" s="26">
        <f t="shared" si="41"/>
        <v>0</v>
      </c>
      <c r="AG31" s="26">
        <f t="shared" si="41"/>
        <v>0</v>
      </c>
      <c r="AH31" s="26">
        <f t="shared" si="41"/>
        <v>0</v>
      </c>
      <c r="AI31" s="113"/>
      <c r="AJ31" s="6" t="s">
        <v>12</v>
      </c>
      <c r="AK31" s="26" t="e">
        <f>AK30/AK29*100</f>
        <v>#DIV/0!</v>
      </c>
      <c r="AL31" s="26" t="e">
        <f>AL30/AL29*100</f>
        <v>#DIV/0!</v>
      </c>
      <c r="AM31" s="26" t="e">
        <f>AM30/AM29*100</f>
        <v>#DIV/0!</v>
      </c>
      <c r="AN31" s="26">
        <v>0</v>
      </c>
      <c r="AO31" s="26" t="e">
        <f>AO30/AO29*100</f>
        <v>#DIV/0!</v>
      </c>
      <c r="AP31" s="26">
        <v>0</v>
      </c>
      <c r="AQ31" s="26" t="e">
        <f>AQ30/AQ29*100</f>
        <v>#DIV/0!</v>
      </c>
    </row>
    <row r="32" spans="1:43">
      <c r="A32" s="6" t="s">
        <v>27</v>
      </c>
      <c r="B32" s="27">
        <f t="shared" ref="B32:H32" si="42">K32+S32+AK32</f>
        <v>3.5</v>
      </c>
      <c r="C32" s="27">
        <f t="shared" si="42"/>
        <v>321</v>
      </c>
      <c r="D32" s="27">
        <f t="shared" si="42"/>
        <v>288</v>
      </c>
      <c r="E32" s="27">
        <f t="shared" si="42"/>
        <v>160</v>
      </c>
      <c r="F32" s="27">
        <f t="shared" si="42"/>
        <v>65</v>
      </c>
      <c r="G32" s="27">
        <f t="shared" si="42"/>
        <v>0</v>
      </c>
      <c r="H32" s="27">
        <f t="shared" si="42"/>
        <v>63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>
        <v>3.5</v>
      </c>
      <c r="T32" s="26">
        <v>321</v>
      </c>
      <c r="U32" s="6">
        <f>V32+W32+X32+Y32</f>
        <v>288</v>
      </c>
      <c r="V32" s="6">
        <v>160</v>
      </c>
      <c r="W32" s="6">
        <v>65</v>
      </c>
      <c r="X32" s="6"/>
      <c r="Y32" s="6">
        <v>63</v>
      </c>
      <c r="Z32" s="1"/>
      <c r="AA32" s="6" t="s">
        <v>27</v>
      </c>
      <c r="AB32" s="27"/>
      <c r="AC32" s="6">
        <v>316</v>
      </c>
      <c r="AD32" s="6">
        <f>AE32+AF32+AG32+AH32</f>
        <v>284</v>
      </c>
      <c r="AE32" s="6">
        <v>158</v>
      </c>
      <c r="AF32" s="6">
        <v>64</v>
      </c>
      <c r="AG32" s="6"/>
      <c r="AH32" s="6">
        <v>62</v>
      </c>
      <c r="AI32" s="1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</row>
    <row r="33" spans="1:43">
      <c r="A33" s="6" t="s">
        <v>28</v>
      </c>
      <c r="B33" s="27">
        <f>K33+S33+AK33</f>
        <v>6</v>
      </c>
      <c r="C33" s="6">
        <f>L33+T33+AL33</f>
        <v>311</v>
      </c>
      <c r="D33" s="6">
        <f>E33+F33+G33+H33</f>
        <v>279</v>
      </c>
      <c r="E33" s="6">
        <f>N33+V33+AN33</f>
        <v>202</v>
      </c>
      <c r="F33" s="6">
        <f>O33+W33+AO33</f>
        <v>5</v>
      </c>
      <c r="G33" s="6">
        <f>P33+X33+AP33</f>
        <v>0</v>
      </c>
      <c r="H33" s="6">
        <f>Q33+Y33+AQ33</f>
        <v>72</v>
      </c>
      <c r="J33" s="6" t="s">
        <v>28</v>
      </c>
      <c r="K33" s="6"/>
      <c r="L33" s="6"/>
      <c r="M33" s="26">
        <f>N33+O33+P33+Q33</f>
        <v>0</v>
      </c>
      <c r="N33" s="6"/>
      <c r="O33" s="6"/>
      <c r="P33" s="6"/>
      <c r="Q33" s="6"/>
      <c r="R33" s="6" t="s">
        <v>28</v>
      </c>
      <c r="S33" s="6">
        <v>6</v>
      </c>
      <c r="T33" s="6">
        <v>311</v>
      </c>
      <c r="U33" s="6">
        <f>V33+W33+X33+Y33</f>
        <v>279</v>
      </c>
      <c r="V33" s="6">
        <v>202</v>
      </c>
      <c r="W33" s="6">
        <v>5</v>
      </c>
      <c r="X33" s="6"/>
      <c r="Y33" s="6">
        <v>72</v>
      </c>
      <c r="Z33" s="1"/>
      <c r="AA33" s="6" t="s">
        <v>28</v>
      </c>
      <c r="AB33" s="6"/>
      <c r="AC33" s="6"/>
      <c r="AD33" s="6"/>
      <c r="AE33" s="6"/>
      <c r="AF33" s="6"/>
      <c r="AG33" s="6"/>
      <c r="AH33" s="6"/>
      <c r="AI33" s="1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26">
        <f t="shared" ref="B34:H34" si="43">B33/B32*100</f>
        <v>171.42857142857142</v>
      </c>
      <c r="C34" s="26">
        <f t="shared" si="43"/>
        <v>96.884735202492209</v>
      </c>
      <c r="D34" s="26">
        <f t="shared" si="43"/>
        <v>96.875</v>
      </c>
      <c r="E34" s="26">
        <f t="shared" si="43"/>
        <v>126.25</v>
      </c>
      <c r="F34" s="26">
        <f t="shared" si="43"/>
        <v>7.6923076923076925</v>
      </c>
      <c r="G34" s="26" t="e">
        <f t="shared" si="43"/>
        <v>#DIV/0!</v>
      </c>
      <c r="H34" s="26">
        <f t="shared" si="43"/>
        <v>114.28571428571428</v>
      </c>
      <c r="J34" s="6" t="s">
        <v>12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6" t="s">
        <v>12</v>
      </c>
      <c r="S34" s="26">
        <f t="shared" ref="S34:Y34" si="44">S33/S32*100</f>
        <v>171.42857142857142</v>
      </c>
      <c r="T34" s="26">
        <f t="shared" si="44"/>
        <v>96.884735202492209</v>
      </c>
      <c r="U34" s="26">
        <f t="shared" si="44"/>
        <v>96.875</v>
      </c>
      <c r="V34" s="26">
        <f t="shared" si="44"/>
        <v>126.25</v>
      </c>
      <c r="W34" s="26">
        <f t="shared" si="44"/>
        <v>7.6923076923076925</v>
      </c>
      <c r="X34" s="26" t="e">
        <f t="shared" si="44"/>
        <v>#DIV/0!</v>
      </c>
      <c r="Y34" s="26">
        <f t="shared" si="44"/>
        <v>114.28571428571428</v>
      </c>
      <c r="Z34" s="113"/>
      <c r="AA34" s="6" t="s">
        <v>12</v>
      </c>
      <c r="AB34" s="27" t="e">
        <f t="shared" ref="AB34:AH34" si="45">AB33/AB32*100</f>
        <v>#DIV/0!</v>
      </c>
      <c r="AC34" s="26">
        <f t="shared" si="45"/>
        <v>0</v>
      </c>
      <c r="AD34" s="26">
        <f t="shared" si="45"/>
        <v>0</v>
      </c>
      <c r="AE34" s="26">
        <f t="shared" si="45"/>
        <v>0</v>
      </c>
      <c r="AF34" s="26">
        <f t="shared" si="45"/>
        <v>0</v>
      </c>
      <c r="AG34" s="26" t="e">
        <f t="shared" si="45"/>
        <v>#DIV/0!</v>
      </c>
      <c r="AH34" s="26">
        <f t="shared" si="45"/>
        <v>0</v>
      </c>
      <c r="AI34" s="113"/>
      <c r="AJ34" s="6" t="s">
        <v>12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</row>
    <row r="35" spans="1:43">
      <c r="A35" s="6" t="s">
        <v>29</v>
      </c>
      <c r="B35" s="27">
        <f t="shared" ref="B35:H35" si="46">K35+S35+AK35</f>
        <v>129.19999999999999</v>
      </c>
      <c r="C35" s="27">
        <f t="shared" si="46"/>
        <v>5448</v>
      </c>
      <c r="D35" s="27">
        <f t="shared" si="46"/>
        <v>4846</v>
      </c>
      <c r="E35" s="27">
        <f t="shared" si="46"/>
        <v>0</v>
      </c>
      <c r="F35" s="27">
        <f t="shared" si="46"/>
        <v>1304</v>
      </c>
      <c r="G35" s="27">
        <f t="shared" si="46"/>
        <v>381</v>
      </c>
      <c r="H35" s="27">
        <f t="shared" si="46"/>
        <v>3161</v>
      </c>
      <c r="J35" s="6" t="s">
        <v>29</v>
      </c>
      <c r="K35" s="6"/>
      <c r="L35" s="6">
        <v>109</v>
      </c>
      <c r="M35" s="6">
        <f>N35+O35+P35+Q35</f>
        <v>97</v>
      </c>
      <c r="N35" s="6"/>
      <c r="O35" s="6">
        <v>25</v>
      </c>
      <c r="P35" s="6">
        <v>8</v>
      </c>
      <c r="Q35" s="6">
        <v>64</v>
      </c>
      <c r="R35" s="6" t="s">
        <v>29</v>
      </c>
      <c r="S35" s="6">
        <v>129.19999999999999</v>
      </c>
      <c r="T35" s="26">
        <v>5339</v>
      </c>
      <c r="U35" s="6">
        <f>V35+W35+X35+Y35</f>
        <v>4749</v>
      </c>
      <c r="V35" s="6"/>
      <c r="W35" s="6">
        <v>1279</v>
      </c>
      <c r="X35" s="6">
        <v>373</v>
      </c>
      <c r="Y35" s="6">
        <v>3097</v>
      </c>
      <c r="Z35" s="1"/>
      <c r="AA35" s="6" t="s">
        <v>29</v>
      </c>
      <c r="AB35" s="27"/>
      <c r="AC35" s="6"/>
      <c r="AD35" s="6"/>
      <c r="AE35" s="6"/>
      <c r="AF35" s="6"/>
      <c r="AG35" s="6"/>
      <c r="AH35" s="6"/>
      <c r="AI35" s="1"/>
      <c r="AJ35" s="6" t="s">
        <v>29</v>
      </c>
      <c r="AK35" s="6"/>
      <c r="AL35" s="6"/>
      <c r="AM35" s="6"/>
      <c r="AN35" s="6"/>
      <c r="AO35" s="6"/>
      <c r="AP35" s="6"/>
      <c r="AQ35" s="6"/>
    </row>
    <row r="36" spans="1:43">
      <c r="A36" s="6" t="s">
        <v>30</v>
      </c>
      <c r="B36" s="27">
        <f>K36+S36+AK36</f>
        <v>63</v>
      </c>
      <c r="C36" s="6">
        <f>L36+T36+AL36</f>
        <v>1101</v>
      </c>
      <c r="D36" s="6">
        <f>E36+F36+G36+H36</f>
        <v>1005</v>
      </c>
      <c r="E36" s="6">
        <f>N36+V36+AN36</f>
        <v>8</v>
      </c>
      <c r="F36" s="6">
        <f>O36+W36+AO36</f>
        <v>33</v>
      </c>
      <c r="G36" s="6">
        <f>P36+X36+AP36</f>
        <v>7</v>
      </c>
      <c r="H36" s="6">
        <f>Q36+Y36+AQ36</f>
        <v>957</v>
      </c>
      <c r="J36" s="6" t="s">
        <v>30</v>
      </c>
      <c r="K36" s="6">
        <v>1</v>
      </c>
      <c r="L36" s="6">
        <v>33</v>
      </c>
      <c r="M36" s="26">
        <f>N36+O36+P36+Q36</f>
        <v>30</v>
      </c>
      <c r="N36" s="6">
        <v>3</v>
      </c>
      <c r="O36" s="6">
        <v>2</v>
      </c>
      <c r="P36" s="6"/>
      <c r="Q36" s="6">
        <v>25</v>
      </c>
      <c r="R36" s="6" t="s">
        <v>30</v>
      </c>
      <c r="S36" s="6">
        <v>62</v>
      </c>
      <c r="T36" s="6">
        <v>1068</v>
      </c>
      <c r="U36" s="6">
        <f>V36+W36+X36+Y36</f>
        <v>975</v>
      </c>
      <c r="V36" s="6">
        <v>5</v>
      </c>
      <c r="W36" s="6">
        <v>31</v>
      </c>
      <c r="X36" s="6">
        <v>7</v>
      </c>
      <c r="Y36" s="6">
        <v>932</v>
      </c>
      <c r="Z36" s="1"/>
      <c r="AA36" s="6" t="s">
        <v>30</v>
      </c>
      <c r="AB36" s="27"/>
      <c r="AC36" s="6"/>
      <c r="AD36" s="6">
        <f>AE36+AF36+AG36+AH36</f>
        <v>0</v>
      </c>
      <c r="AE36" s="6"/>
      <c r="AF36" s="6"/>
      <c r="AG36" s="6"/>
      <c r="AH36" s="6"/>
      <c r="AI36" s="1"/>
      <c r="AJ36" s="6" t="s">
        <v>30</v>
      </c>
      <c r="AK36" s="6"/>
      <c r="AL36" s="6"/>
      <c r="AM36" s="6"/>
      <c r="AN36" s="6"/>
      <c r="AO36" s="6"/>
      <c r="AP36" s="6"/>
      <c r="AQ36" s="6"/>
    </row>
    <row r="37" spans="1:43">
      <c r="A37" s="6" t="s">
        <v>12</v>
      </c>
      <c r="B37" s="26">
        <f t="shared" ref="B37:H37" si="47">B36/B35*100</f>
        <v>48.761609907120743</v>
      </c>
      <c r="C37" s="26">
        <f t="shared" si="47"/>
        <v>20.209251101321584</v>
      </c>
      <c r="D37" s="26">
        <f t="shared" si="47"/>
        <v>20.738753611225754</v>
      </c>
      <c r="E37" s="26" t="e">
        <f t="shared" si="47"/>
        <v>#DIV/0!</v>
      </c>
      <c r="F37" s="26">
        <f t="shared" si="47"/>
        <v>2.5306748466257667</v>
      </c>
      <c r="G37" s="26">
        <f t="shared" si="47"/>
        <v>1.837270341207349</v>
      </c>
      <c r="H37" s="26">
        <f t="shared" si="47"/>
        <v>30.275229357798167</v>
      </c>
      <c r="J37" s="6" t="s">
        <v>12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6" t="s">
        <v>12</v>
      </c>
      <c r="S37" s="26">
        <f t="shared" ref="S37:X37" si="48">S36/S35*100</f>
        <v>47.987616099071211</v>
      </c>
      <c r="T37" s="26">
        <f t="shared" si="48"/>
        <v>20.003746019853903</v>
      </c>
      <c r="U37" s="26" t="s">
        <v>70</v>
      </c>
      <c r="V37" s="26" t="e">
        <f t="shared" si="48"/>
        <v>#DIV/0!</v>
      </c>
      <c r="W37" s="26">
        <f t="shared" si="48"/>
        <v>2.4237685691946833</v>
      </c>
      <c r="X37" s="26">
        <f t="shared" si="48"/>
        <v>1.8766756032171581</v>
      </c>
      <c r="Y37" s="26" t="s">
        <v>114</v>
      </c>
      <c r="Z37" s="113"/>
      <c r="AA37" s="6" t="s">
        <v>12</v>
      </c>
      <c r="AB37" s="27" t="e">
        <f t="shared" ref="AB37:AH37" si="49">AB36/AB35*100</f>
        <v>#DIV/0!</v>
      </c>
      <c r="AC37" s="26" t="e">
        <f t="shared" si="49"/>
        <v>#DIV/0!</v>
      </c>
      <c r="AD37" s="26" t="e">
        <f t="shared" si="49"/>
        <v>#DIV/0!</v>
      </c>
      <c r="AE37" s="26" t="e">
        <f t="shared" si="49"/>
        <v>#DIV/0!</v>
      </c>
      <c r="AF37" s="26" t="e">
        <f t="shared" si="49"/>
        <v>#DIV/0!</v>
      </c>
      <c r="AG37" s="26" t="e">
        <f t="shared" si="49"/>
        <v>#DIV/0!</v>
      </c>
      <c r="AH37" s="26" t="e">
        <f t="shared" si="49"/>
        <v>#DIV/0!</v>
      </c>
      <c r="AI37" s="113"/>
      <c r="AJ37" s="6" t="s">
        <v>12</v>
      </c>
      <c r="AK37" s="26" t="e">
        <f>AK36/AK35*100</f>
        <v>#DIV/0!</v>
      </c>
      <c r="AL37" s="26" t="e">
        <f>AL36/AL35*100</f>
        <v>#DIV/0!</v>
      </c>
      <c r="AM37" s="26" t="e">
        <f>AM36/AM35*100</f>
        <v>#DIV/0!</v>
      </c>
      <c r="AN37" s="26">
        <v>0</v>
      </c>
      <c r="AO37" s="26" t="e">
        <f>AO36/AO35*100</f>
        <v>#DIV/0!</v>
      </c>
      <c r="AP37" s="26">
        <v>0</v>
      </c>
      <c r="AQ37" s="26" t="e">
        <f>AQ36/AQ35*100</f>
        <v>#DIV/0!</v>
      </c>
    </row>
    <row r="38" spans="1:43">
      <c r="A38" s="6" t="s">
        <v>31</v>
      </c>
      <c r="B38" s="27">
        <f t="shared" ref="B38:H38" si="50">K38+S38+AK38</f>
        <v>136.80000000000001</v>
      </c>
      <c r="C38" s="27">
        <f t="shared" si="50"/>
        <v>4850</v>
      </c>
      <c r="D38" s="27">
        <f t="shared" si="50"/>
        <v>4583</v>
      </c>
      <c r="E38" s="27">
        <f t="shared" si="50"/>
        <v>487</v>
      </c>
      <c r="F38" s="27">
        <f t="shared" si="50"/>
        <v>670</v>
      </c>
      <c r="G38" s="27">
        <f t="shared" si="50"/>
        <v>503</v>
      </c>
      <c r="H38" s="27">
        <f t="shared" si="50"/>
        <v>2923</v>
      </c>
      <c r="J38" s="6" t="s">
        <v>31</v>
      </c>
      <c r="K38" s="27">
        <v>74.2</v>
      </c>
      <c r="L38" s="6">
        <v>2422</v>
      </c>
      <c r="M38" s="6">
        <f>N38+O38+P38+Q38</f>
        <v>2576</v>
      </c>
      <c r="N38" s="6">
        <v>232</v>
      </c>
      <c r="O38" s="6">
        <v>382</v>
      </c>
      <c r="P38" s="6">
        <v>435</v>
      </c>
      <c r="Q38" s="6">
        <v>1527</v>
      </c>
      <c r="R38" s="6" t="s">
        <v>31</v>
      </c>
      <c r="S38" s="6">
        <v>62.6</v>
      </c>
      <c r="T38" s="26">
        <v>2428</v>
      </c>
      <c r="U38" s="6">
        <f>V38+W38+X38+Y38</f>
        <v>2007</v>
      </c>
      <c r="V38" s="6">
        <v>255</v>
      </c>
      <c r="W38" s="6">
        <v>288</v>
      </c>
      <c r="X38" s="6">
        <v>68</v>
      </c>
      <c r="Y38" s="6">
        <v>1396</v>
      </c>
      <c r="Z38" s="1"/>
      <c r="AA38" s="6" t="s">
        <v>31</v>
      </c>
      <c r="AB38" s="27">
        <v>4.4000000000000004</v>
      </c>
      <c r="AC38" s="6">
        <v>523</v>
      </c>
      <c r="AD38" s="6">
        <f>AE38+AF38+AG38+AH38</f>
        <v>510</v>
      </c>
      <c r="AE38" s="6">
        <v>83</v>
      </c>
      <c r="AF38" s="6">
        <v>75</v>
      </c>
      <c r="AG38" s="6">
        <v>22</v>
      </c>
      <c r="AH38" s="6">
        <v>330</v>
      </c>
      <c r="AI38" s="1"/>
      <c r="AJ38" s="6" t="s">
        <v>31</v>
      </c>
      <c r="AK38" s="6"/>
      <c r="AL38" s="6"/>
      <c r="AM38" s="6"/>
      <c r="AN38" s="6"/>
      <c r="AO38" s="6"/>
      <c r="AP38" s="6"/>
      <c r="AQ38" s="6"/>
    </row>
    <row r="39" spans="1:43">
      <c r="A39" s="6" t="s">
        <v>32</v>
      </c>
      <c r="B39" s="27">
        <f>K39+S39+AK39</f>
        <v>109.4</v>
      </c>
      <c r="C39" s="6">
        <f>L39+T39+AL39</f>
        <v>4984</v>
      </c>
      <c r="D39" s="6">
        <f>E39+F39+G39+H39</f>
        <v>4484</v>
      </c>
      <c r="E39" s="6">
        <f>N39+V39+AN39</f>
        <v>319</v>
      </c>
      <c r="F39" s="6">
        <f>O39+W39+AO39</f>
        <v>186</v>
      </c>
      <c r="G39" s="6">
        <f>P39+X39+AP39</f>
        <v>6</v>
      </c>
      <c r="H39" s="6">
        <f>Q39+Y39+AQ39</f>
        <v>3973</v>
      </c>
      <c r="J39" s="6" t="s">
        <v>32</v>
      </c>
      <c r="K39" s="27">
        <v>29</v>
      </c>
      <c r="L39" s="6">
        <v>2135</v>
      </c>
      <c r="M39" s="26">
        <f>N39+O39+P39+Q39</f>
        <v>1864</v>
      </c>
      <c r="N39" s="6">
        <v>196</v>
      </c>
      <c r="O39" s="6">
        <v>153</v>
      </c>
      <c r="P39" s="6">
        <v>6</v>
      </c>
      <c r="Q39" s="6">
        <v>1509</v>
      </c>
      <c r="R39" s="6" t="s">
        <v>32</v>
      </c>
      <c r="S39" s="27">
        <v>80.400000000000006</v>
      </c>
      <c r="T39" s="6">
        <v>2849</v>
      </c>
      <c r="U39" s="6">
        <f>V39+W39+X39+Y39</f>
        <v>2620</v>
      </c>
      <c r="V39" s="6">
        <v>123</v>
      </c>
      <c r="W39" s="6">
        <v>33</v>
      </c>
      <c r="X39" s="6"/>
      <c r="Y39" s="6">
        <v>2464</v>
      </c>
      <c r="Z39" s="1"/>
      <c r="AA39" s="6" t="s">
        <v>32</v>
      </c>
      <c r="AB39" s="27">
        <v>4</v>
      </c>
      <c r="AC39" s="6">
        <v>201</v>
      </c>
      <c r="AD39" s="6">
        <f>AE39+AF39+AG39+AH39</f>
        <v>192</v>
      </c>
      <c r="AE39" s="6"/>
      <c r="AF39" s="6"/>
      <c r="AG39" s="6"/>
      <c r="AH39" s="6">
        <v>192</v>
      </c>
      <c r="AI39" s="1"/>
      <c r="AJ39" s="6" t="s">
        <v>32</v>
      </c>
      <c r="AK39" s="6"/>
      <c r="AL39" s="6"/>
      <c r="AM39" s="6"/>
      <c r="AN39" s="6"/>
      <c r="AO39" s="6"/>
      <c r="AP39" s="6"/>
      <c r="AQ39" s="6"/>
    </row>
    <row r="40" spans="1:43">
      <c r="A40" s="6" t="s">
        <v>12</v>
      </c>
      <c r="B40" s="26">
        <f t="shared" ref="B40:H40" si="51">B39/B38*100</f>
        <v>79.970760233918128</v>
      </c>
      <c r="C40" s="26">
        <f t="shared" si="51"/>
        <v>102.76288659793815</v>
      </c>
      <c r="D40" s="26">
        <f t="shared" si="51"/>
        <v>97.839842897665292</v>
      </c>
      <c r="E40" s="26">
        <f t="shared" si="51"/>
        <v>65.503080082135526</v>
      </c>
      <c r="F40" s="26">
        <f t="shared" si="51"/>
        <v>27.761194029850746</v>
      </c>
      <c r="G40" s="26">
        <f t="shared" si="51"/>
        <v>1.1928429423459244</v>
      </c>
      <c r="H40" s="26">
        <f t="shared" si="51"/>
        <v>135.92199794731442</v>
      </c>
      <c r="J40" s="6" t="s">
        <v>12</v>
      </c>
      <c r="K40" s="26">
        <f t="shared" ref="K40:Q40" si="52">K39/K38*100</f>
        <v>39.083557951482476</v>
      </c>
      <c r="L40" s="26">
        <f t="shared" si="52"/>
        <v>88.150289017341038</v>
      </c>
      <c r="M40" s="26">
        <f t="shared" si="52"/>
        <v>72.360248447204967</v>
      </c>
      <c r="N40" s="26">
        <f t="shared" si="52"/>
        <v>84.482758620689651</v>
      </c>
      <c r="O40" s="26">
        <f t="shared" si="52"/>
        <v>40.052356020942412</v>
      </c>
      <c r="P40" s="26">
        <f t="shared" si="52"/>
        <v>1.3793103448275863</v>
      </c>
      <c r="Q40" s="26">
        <f t="shared" si="52"/>
        <v>98.821218074656187</v>
      </c>
      <c r="R40" s="6" t="s">
        <v>12</v>
      </c>
      <c r="S40" s="26">
        <f t="shared" ref="S40:Y40" si="53">S39/S38*100</f>
        <v>128.43450479233226</v>
      </c>
      <c r="T40" s="26">
        <f t="shared" si="53"/>
        <v>117.33937397034597</v>
      </c>
      <c r="U40" s="26">
        <f t="shared" si="53"/>
        <v>130.54309915296463</v>
      </c>
      <c r="V40" s="26">
        <f t="shared" si="53"/>
        <v>48.235294117647058</v>
      </c>
      <c r="W40" s="26">
        <f t="shared" si="53"/>
        <v>11.458333333333332</v>
      </c>
      <c r="X40" s="26">
        <f t="shared" si="53"/>
        <v>0</v>
      </c>
      <c r="Y40" s="26">
        <f t="shared" si="53"/>
        <v>176.50429799426934</v>
      </c>
      <c r="Z40" s="113"/>
      <c r="AA40" s="6" t="s">
        <v>12</v>
      </c>
      <c r="AB40" s="27">
        <f t="shared" ref="AB40:AH40" si="54">AB39/AB38*100</f>
        <v>90.909090909090907</v>
      </c>
      <c r="AC40" s="26">
        <f t="shared" si="54"/>
        <v>38.432122370936902</v>
      </c>
      <c r="AD40" s="26">
        <f t="shared" si="54"/>
        <v>37.647058823529413</v>
      </c>
      <c r="AE40" s="26">
        <f t="shared" si="54"/>
        <v>0</v>
      </c>
      <c r="AF40" s="26">
        <f t="shared" si="54"/>
        <v>0</v>
      </c>
      <c r="AG40" s="26">
        <f t="shared" si="54"/>
        <v>0</v>
      </c>
      <c r="AH40" s="26">
        <f t="shared" si="54"/>
        <v>58.18181818181818</v>
      </c>
      <c r="AI40" s="113"/>
      <c r="AJ40" s="6" t="s">
        <v>12</v>
      </c>
      <c r="AK40" s="26" t="e">
        <f>AK39/AK38*100</f>
        <v>#DIV/0!</v>
      </c>
      <c r="AL40" s="26" t="e">
        <f>AL39/AL38*100</f>
        <v>#DIV/0!</v>
      </c>
      <c r="AM40" s="26" t="e">
        <f>AM39/AM38*100</f>
        <v>#DIV/0!</v>
      </c>
      <c r="AN40" s="26">
        <v>0</v>
      </c>
      <c r="AO40" s="26" t="e">
        <f>AO39/AO38*100</f>
        <v>#DIV/0!</v>
      </c>
      <c r="AP40" s="26" t="e">
        <f>AP39/AP38*100</f>
        <v>#DIV/0!</v>
      </c>
      <c r="AQ40" s="26" t="e">
        <f>AQ39/AQ38*100</f>
        <v>#DIV/0!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55">K9+S9+AK9</f>
        <v>625.5</v>
      </c>
      <c r="C46" s="83">
        <f t="shared" si="55"/>
        <v>28968</v>
      </c>
      <c r="D46" s="83">
        <f t="shared" si="55"/>
        <v>24647</v>
      </c>
      <c r="E46" s="83">
        <f t="shared" si="55"/>
        <v>3729</v>
      </c>
      <c r="F46" s="83">
        <f t="shared" si="55"/>
        <v>5359</v>
      </c>
      <c r="G46" s="83">
        <f t="shared" si="55"/>
        <v>1561</v>
      </c>
      <c r="H46" s="83">
        <f t="shared" si="55"/>
        <v>13998</v>
      </c>
    </row>
    <row r="47" spans="1:43">
      <c r="A47" s="84" t="s">
        <v>50</v>
      </c>
      <c r="B47" s="83">
        <f t="shared" si="55"/>
        <v>520.40000000000009</v>
      </c>
      <c r="C47" s="83">
        <f t="shared" si="55"/>
        <v>27066</v>
      </c>
      <c r="D47" s="83">
        <f t="shared" si="55"/>
        <v>24790</v>
      </c>
      <c r="E47" s="83">
        <f t="shared" si="55"/>
        <v>3760</v>
      </c>
      <c r="F47" s="83">
        <f t="shared" si="55"/>
        <v>1336</v>
      </c>
      <c r="G47" s="83">
        <f t="shared" si="55"/>
        <v>71</v>
      </c>
      <c r="H47" s="83">
        <f t="shared" si="55"/>
        <v>19623</v>
      </c>
    </row>
    <row r="48" spans="1:43">
      <c r="A48" s="85" t="s">
        <v>44</v>
      </c>
      <c r="B48" s="86">
        <f>B47/B46*100</f>
        <v>83.197442046362923</v>
      </c>
      <c r="C48" s="86">
        <f t="shared" ref="C48:H48" si="56">C47/C46*100</f>
        <v>93.434134217067111</v>
      </c>
      <c r="D48" s="86">
        <f t="shared" si="56"/>
        <v>100.58019231549477</v>
      </c>
      <c r="E48" s="86">
        <f t="shared" si="56"/>
        <v>100.83132207026013</v>
      </c>
      <c r="F48" s="86">
        <f t="shared" si="56"/>
        <v>24.930024258257138</v>
      </c>
      <c r="G48" s="86">
        <f t="shared" si="56"/>
        <v>4.5483664317745038</v>
      </c>
      <c r="H48" s="86">
        <f t="shared" si="56"/>
        <v>140.18431204457781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7">K13+S13+AK13</f>
        <v>113.19999999999999</v>
      </c>
      <c r="C50" s="90">
        <f t="shared" si="57"/>
        <v>5472</v>
      </c>
      <c r="D50" s="90">
        <f t="shared" si="57"/>
        <v>4156</v>
      </c>
      <c r="E50" s="90">
        <f t="shared" si="57"/>
        <v>760</v>
      </c>
      <c r="F50" s="90">
        <f t="shared" si="57"/>
        <v>1667</v>
      </c>
      <c r="G50" s="90">
        <f t="shared" si="57"/>
        <v>232</v>
      </c>
      <c r="H50" s="90">
        <f t="shared" si="57"/>
        <v>1497</v>
      </c>
    </row>
    <row r="51" spans="1:8">
      <c r="A51" s="75" t="s">
        <v>50</v>
      </c>
      <c r="B51" s="90">
        <f t="shared" si="57"/>
        <v>179.6</v>
      </c>
      <c r="C51" s="90">
        <f t="shared" si="57"/>
        <v>11530</v>
      </c>
      <c r="D51" s="90">
        <f t="shared" si="57"/>
        <v>10457</v>
      </c>
      <c r="E51" s="90">
        <f t="shared" si="57"/>
        <v>2131</v>
      </c>
      <c r="F51" s="90">
        <f t="shared" si="57"/>
        <v>948</v>
      </c>
      <c r="G51" s="90">
        <f t="shared" si="57"/>
        <v>21</v>
      </c>
      <c r="H51" s="90">
        <f t="shared" si="57"/>
        <v>7357</v>
      </c>
    </row>
    <row r="52" spans="1:8">
      <c r="A52" s="75" t="s">
        <v>44</v>
      </c>
      <c r="B52" s="91">
        <f t="shared" ref="B52:H52" si="58">B51/B50*100</f>
        <v>158.65724381625444</v>
      </c>
      <c r="C52" s="91">
        <f t="shared" si="58"/>
        <v>210.70906432748538</v>
      </c>
      <c r="D52" s="91">
        <f t="shared" si="58"/>
        <v>251.61212704523578</v>
      </c>
      <c r="E52" s="91">
        <f t="shared" si="58"/>
        <v>280.39473684210526</v>
      </c>
      <c r="F52" s="91">
        <f t="shared" si="58"/>
        <v>56.868626274745047</v>
      </c>
      <c r="G52" s="91">
        <f t="shared" si="58"/>
        <v>9.0517241379310338</v>
      </c>
      <c r="H52" s="91">
        <f t="shared" si="58"/>
        <v>491.44956579826317</v>
      </c>
    </row>
    <row r="53" spans="1:8">
      <c r="A53" s="75" t="s">
        <v>13</v>
      </c>
      <c r="B53" s="90">
        <f t="shared" ref="B53:H55" si="59">K16+S16+AK16</f>
        <v>135.5</v>
      </c>
      <c r="C53" s="90">
        <f t="shared" si="59"/>
        <v>5565</v>
      </c>
      <c r="D53" s="90">
        <f t="shared" si="59"/>
        <v>4946</v>
      </c>
      <c r="E53" s="90">
        <f t="shared" si="59"/>
        <v>1332</v>
      </c>
      <c r="F53" s="90">
        <f t="shared" si="59"/>
        <v>577</v>
      </c>
      <c r="G53" s="90">
        <f t="shared" si="59"/>
        <v>14</v>
      </c>
      <c r="H53" s="90">
        <f t="shared" si="59"/>
        <v>3023</v>
      </c>
    </row>
    <row r="54" spans="1:8">
      <c r="A54" s="92" t="s">
        <v>14</v>
      </c>
      <c r="B54" s="90">
        <f t="shared" si="59"/>
        <v>0</v>
      </c>
      <c r="C54" s="90">
        <f t="shared" si="59"/>
        <v>22</v>
      </c>
      <c r="D54" s="90">
        <f t="shared" si="59"/>
        <v>17</v>
      </c>
      <c r="E54" s="90">
        <f t="shared" si="59"/>
        <v>9</v>
      </c>
      <c r="F54" s="90">
        <f t="shared" si="59"/>
        <v>2</v>
      </c>
      <c r="G54" s="90">
        <f t="shared" si="59"/>
        <v>1</v>
      </c>
      <c r="H54" s="90">
        <f t="shared" si="59"/>
        <v>5</v>
      </c>
    </row>
    <row r="55" spans="1:8">
      <c r="A55" s="75" t="s">
        <v>15</v>
      </c>
      <c r="B55" s="90">
        <f t="shared" si="59"/>
        <v>1</v>
      </c>
      <c r="C55" s="90">
        <f t="shared" si="59"/>
        <v>193</v>
      </c>
      <c r="D55" s="90">
        <f t="shared" si="59"/>
        <v>171</v>
      </c>
      <c r="E55" s="90">
        <f t="shared" si="59"/>
        <v>15</v>
      </c>
      <c r="F55" s="90">
        <f t="shared" si="59"/>
        <v>12</v>
      </c>
      <c r="G55" s="90">
        <f t="shared" si="59"/>
        <v>0</v>
      </c>
      <c r="H55" s="90">
        <f t="shared" si="59"/>
        <v>144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60">K20+S20+AK20</f>
        <v>512.29999999999995</v>
      </c>
      <c r="C57" s="90">
        <f t="shared" si="60"/>
        <v>23496</v>
      </c>
      <c r="D57" s="90">
        <f t="shared" si="60"/>
        <v>20491</v>
      </c>
      <c r="E57" s="90">
        <f t="shared" si="60"/>
        <v>2969</v>
      </c>
      <c r="F57" s="90">
        <f t="shared" si="60"/>
        <v>3692</v>
      </c>
      <c r="G57" s="90">
        <f t="shared" si="60"/>
        <v>1329</v>
      </c>
      <c r="H57" s="90">
        <f t="shared" si="60"/>
        <v>12501</v>
      </c>
    </row>
    <row r="58" spans="1:8">
      <c r="A58" s="92" t="s">
        <v>50</v>
      </c>
      <c r="B58" s="90">
        <f t="shared" si="60"/>
        <v>340.80000000000007</v>
      </c>
      <c r="C58" s="90">
        <f t="shared" si="60"/>
        <v>15536</v>
      </c>
      <c r="D58" s="90">
        <f t="shared" si="60"/>
        <v>14333</v>
      </c>
      <c r="E58" s="90">
        <f t="shared" si="60"/>
        <v>1629</v>
      </c>
      <c r="F58" s="90">
        <f t="shared" si="60"/>
        <v>388</v>
      </c>
      <c r="G58" s="90">
        <f t="shared" si="60"/>
        <v>50</v>
      </c>
      <c r="H58" s="90">
        <f t="shared" si="60"/>
        <v>12266</v>
      </c>
    </row>
    <row r="59" spans="1:8">
      <c r="A59" s="75" t="s">
        <v>44</v>
      </c>
      <c r="B59" s="91">
        <f t="shared" ref="B59:H59" si="61">B58/B57*100</f>
        <v>66.523521374194829</v>
      </c>
      <c r="C59" s="91">
        <f t="shared" si="61"/>
        <v>66.121893088185217</v>
      </c>
      <c r="D59" s="91">
        <f t="shared" si="61"/>
        <v>69.947781953052555</v>
      </c>
      <c r="E59" s="91">
        <f t="shared" si="61"/>
        <v>54.866958571909727</v>
      </c>
      <c r="F59" s="91">
        <f t="shared" si="61"/>
        <v>10.509209100758396</v>
      </c>
      <c r="G59" s="91">
        <f t="shared" si="61"/>
        <v>3.7622272385252074</v>
      </c>
      <c r="H59" s="91">
        <f t="shared" si="61"/>
        <v>98.120150387968962</v>
      </c>
    </row>
    <row r="60" spans="1:8">
      <c r="A60" s="75" t="s">
        <v>21</v>
      </c>
      <c r="B60" s="90">
        <f t="shared" ref="B60:H61" si="62">K23+S23+AK23</f>
        <v>113.3</v>
      </c>
      <c r="C60" s="90">
        <f t="shared" si="62"/>
        <v>7544</v>
      </c>
      <c r="D60" s="90">
        <f t="shared" si="62"/>
        <v>6401</v>
      </c>
      <c r="E60" s="90">
        <f t="shared" si="62"/>
        <v>1857</v>
      </c>
      <c r="F60" s="90">
        <f t="shared" si="62"/>
        <v>600</v>
      </c>
      <c r="G60" s="90">
        <f t="shared" si="62"/>
        <v>173</v>
      </c>
      <c r="H60" s="90">
        <f t="shared" si="62"/>
        <v>3771</v>
      </c>
    </row>
    <row r="61" spans="1:8">
      <c r="A61" s="75" t="s">
        <v>51</v>
      </c>
      <c r="B61" s="90">
        <f t="shared" si="62"/>
        <v>105.5</v>
      </c>
      <c r="C61" s="90">
        <f t="shared" si="62"/>
        <v>6777</v>
      </c>
      <c r="D61" s="90">
        <f t="shared" si="62"/>
        <v>6394</v>
      </c>
      <c r="E61" s="90">
        <f t="shared" si="62"/>
        <v>1050</v>
      </c>
      <c r="F61" s="90">
        <f t="shared" si="62"/>
        <v>119</v>
      </c>
      <c r="G61" s="90">
        <f t="shared" si="62"/>
        <v>33</v>
      </c>
      <c r="H61" s="90">
        <f t="shared" si="62"/>
        <v>5192</v>
      </c>
    </row>
    <row r="62" spans="1:8">
      <c r="A62" s="75" t="s">
        <v>12</v>
      </c>
      <c r="B62" s="91">
        <f t="shared" ref="B62:H62" si="63">B61/B60*100</f>
        <v>93.115622241835837</v>
      </c>
      <c r="C62" s="91">
        <f t="shared" si="63"/>
        <v>89.832979851537644</v>
      </c>
      <c r="D62" s="91">
        <f t="shared" si="63"/>
        <v>99.890642087173873</v>
      </c>
      <c r="E62" s="91">
        <f t="shared" si="63"/>
        <v>56.54281098546042</v>
      </c>
      <c r="F62" s="91">
        <f t="shared" si="63"/>
        <v>19.833333333333332</v>
      </c>
      <c r="G62" s="91">
        <f t="shared" si="63"/>
        <v>19.075144508670519</v>
      </c>
      <c r="H62" s="91">
        <f t="shared" si="63"/>
        <v>137.68231238398303</v>
      </c>
    </row>
    <row r="63" spans="1:8">
      <c r="A63" s="75" t="s">
        <v>23</v>
      </c>
      <c r="B63" s="90">
        <f t="shared" ref="B63:H64" si="64">K26+S26+AK26</f>
        <v>62.800000000000004</v>
      </c>
      <c r="C63" s="90">
        <f t="shared" si="64"/>
        <v>2757</v>
      </c>
      <c r="D63" s="90">
        <f t="shared" si="64"/>
        <v>2071</v>
      </c>
      <c r="E63" s="90">
        <f t="shared" si="64"/>
        <v>267</v>
      </c>
      <c r="F63" s="90">
        <f t="shared" si="64"/>
        <v>551</v>
      </c>
      <c r="G63" s="90">
        <f t="shared" si="64"/>
        <v>108</v>
      </c>
      <c r="H63" s="90">
        <f t="shared" si="64"/>
        <v>1145</v>
      </c>
    </row>
    <row r="64" spans="1:8">
      <c r="A64" s="75" t="s">
        <v>45</v>
      </c>
      <c r="B64" s="90">
        <f t="shared" si="64"/>
        <v>28.9</v>
      </c>
      <c r="C64" s="90">
        <f t="shared" si="64"/>
        <v>1284</v>
      </c>
      <c r="D64" s="90">
        <f t="shared" si="64"/>
        <v>1183</v>
      </c>
      <c r="E64" s="90">
        <f t="shared" si="64"/>
        <v>11</v>
      </c>
      <c r="F64" s="90">
        <f t="shared" si="64"/>
        <v>9</v>
      </c>
      <c r="G64" s="90">
        <f t="shared" si="64"/>
        <v>4</v>
      </c>
      <c r="H64" s="90">
        <f t="shared" si="64"/>
        <v>1159</v>
      </c>
    </row>
    <row r="65" spans="1:8">
      <c r="A65" s="75" t="s">
        <v>12</v>
      </c>
      <c r="B65" s="91">
        <f t="shared" ref="B65:H65" si="65">B64/B63*100</f>
        <v>46.01910828025477</v>
      </c>
      <c r="C65" s="91">
        <f t="shared" si="65"/>
        <v>46.572361262241571</v>
      </c>
      <c r="D65" s="91">
        <f t="shared" si="65"/>
        <v>57.122163206180588</v>
      </c>
      <c r="E65" s="91">
        <f t="shared" si="65"/>
        <v>4.119850187265917</v>
      </c>
      <c r="F65" s="91">
        <f t="shared" si="65"/>
        <v>1.6333938294010888</v>
      </c>
      <c r="G65" s="91">
        <f t="shared" si="65"/>
        <v>3.7037037037037033</v>
      </c>
      <c r="H65" s="91">
        <f t="shared" si="65"/>
        <v>101.2227074235808</v>
      </c>
    </row>
    <row r="66" spans="1:8">
      <c r="A66" s="75" t="s">
        <v>25</v>
      </c>
      <c r="B66" s="90">
        <f t="shared" ref="B66:H67" si="66">K29+S29+AK29</f>
        <v>66.7</v>
      </c>
      <c r="C66" s="90">
        <f t="shared" si="66"/>
        <v>2576</v>
      </c>
      <c r="D66" s="90">
        <f t="shared" si="66"/>
        <v>2302</v>
      </c>
      <c r="E66" s="90">
        <f t="shared" si="66"/>
        <v>198</v>
      </c>
      <c r="F66" s="90">
        <f t="shared" si="66"/>
        <v>502</v>
      </c>
      <c r="G66" s="90">
        <f t="shared" si="66"/>
        <v>164</v>
      </c>
      <c r="H66" s="90">
        <f t="shared" si="66"/>
        <v>1438</v>
      </c>
    </row>
    <row r="67" spans="1:8">
      <c r="A67" s="75" t="s">
        <v>46</v>
      </c>
      <c r="B67" s="90">
        <f t="shared" si="66"/>
        <v>28</v>
      </c>
      <c r="C67" s="90">
        <f t="shared" si="66"/>
        <v>1079</v>
      </c>
      <c r="D67" s="90">
        <f t="shared" si="66"/>
        <v>988</v>
      </c>
      <c r="E67" s="90">
        <f t="shared" si="66"/>
        <v>39</v>
      </c>
      <c r="F67" s="90">
        <f t="shared" si="66"/>
        <v>36</v>
      </c>
      <c r="G67" s="90">
        <f t="shared" si="66"/>
        <v>0</v>
      </c>
      <c r="H67" s="90">
        <f t="shared" si="66"/>
        <v>913</v>
      </c>
    </row>
    <row r="68" spans="1:8">
      <c r="A68" s="75" t="s">
        <v>12</v>
      </c>
      <c r="B68" s="91">
        <f t="shared" ref="B68:H68" si="67">B67/B66*100</f>
        <v>41.979010494752622</v>
      </c>
      <c r="C68" s="91">
        <f t="shared" si="67"/>
        <v>41.886645962732921</v>
      </c>
      <c r="D68" s="91">
        <f t="shared" si="67"/>
        <v>42.919200695047785</v>
      </c>
      <c r="E68" s="91">
        <f t="shared" si="67"/>
        <v>19.696969696969695</v>
      </c>
      <c r="F68" s="91">
        <f t="shared" si="67"/>
        <v>7.1713147410358573</v>
      </c>
      <c r="G68" s="91">
        <f t="shared" si="67"/>
        <v>0</v>
      </c>
      <c r="H68" s="91">
        <f t="shared" si="67"/>
        <v>63.490959666203061</v>
      </c>
    </row>
    <row r="69" spans="1:8">
      <c r="A69" s="75" t="s">
        <v>27</v>
      </c>
      <c r="B69" s="90">
        <f t="shared" ref="B69:H70" si="68">K32+S32+AK32</f>
        <v>3.5</v>
      </c>
      <c r="C69" s="90">
        <f t="shared" si="68"/>
        <v>321</v>
      </c>
      <c r="D69" s="90">
        <f t="shared" si="68"/>
        <v>288</v>
      </c>
      <c r="E69" s="90">
        <f t="shared" si="68"/>
        <v>160</v>
      </c>
      <c r="F69" s="90">
        <f t="shared" si="68"/>
        <v>65</v>
      </c>
      <c r="G69" s="90">
        <f t="shared" si="68"/>
        <v>0</v>
      </c>
      <c r="H69" s="90">
        <f t="shared" si="68"/>
        <v>63</v>
      </c>
    </row>
    <row r="70" spans="1:8">
      <c r="A70" s="75" t="s">
        <v>47</v>
      </c>
      <c r="B70" s="90">
        <f t="shared" si="68"/>
        <v>6</v>
      </c>
      <c r="C70" s="90">
        <f t="shared" si="68"/>
        <v>311</v>
      </c>
      <c r="D70" s="90">
        <f t="shared" si="68"/>
        <v>279</v>
      </c>
      <c r="E70" s="90">
        <f t="shared" si="68"/>
        <v>202</v>
      </c>
      <c r="F70" s="90">
        <f t="shared" si="68"/>
        <v>5</v>
      </c>
      <c r="G70" s="90">
        <f t="shared" si="68"/>
        <v>0</v>
      </c>
      <c r="H70" s="90">
        <f t="shared" si="68"/>
        <v>72</v>
      </c>
    </row>
    <row r="71" spans="1:8">
      <c r="A71" s="75" t="s">
        <v>12</v>
      </c>
      <c r="B71" s="91">
        <f t="shared" ref="B71:H71" si="69">B70/B69*100</f>
        <v>171.42857142857142</v>
      </c>
      <c r="C71" s="91">
        <f t="shared" si="69"/>
        <v>96.884735202492209</v>
      </c>
      <c r="D71" s="91">
        <f t="shared" si="69"/>
        <v>96.875</v>
      </c>
      <c r="E71" s="91">
        <f t="shared" si="69"/>
        <v>126.25</v>
      </c>
      <c r="F71" s="91">
        <f t="shared" si="69"/>
        <v>7.6923076923076925</v>
      </c>
      <c r="G71" s="91" t="e">
        <f t="shared" si="69"/>
        <v>#DIV/0!</v>
      </c>
      <c r="H71" s="91">
        <f t="shared" si="69"/>
        <v>114.28571428571428</v>
      </c>
    </row>
    <row r="72" spans="1:8">
      <c r="A72" s="75" t="s">
        <v>29</v>
      </c>
      <c r="B72" s="90">
        <f t="shared" ref="B72:H73" si="70">K35+S35+AK35</f>
        <v>129.19999999999999</v>
      </c>
      <c r="C72" s="90">
        <f t="shared" si="70"/>
        <v>5448</v>
      </c>
      <c r="D72" s="90">
        <f t="shared" si="70"/>
        <v>4846</v>
      </c>
      <c r="E72" s="90">
        <f t="shared" si="70"/>
        <v>0</v>
      </c>
      <c r="F72" s="90">
        <f t="shared" si="70"/>
        <v>1304</v>
      </c>
      <c r="G72" s="90">
        <f t="shared" si="70"/>
        <v>381</v>
      </c>
      <c r="H72" s="90">
        <f t="shared" si="70"/>
        <v>3161</v>
      </c>
    </row>
    <row r="73" spans="1:8">
      <c r="A73" s="75" t="s">
        <v>48</v>
      </c>
      <c r="B73" s="90">
        <f t="shared" si="70"/>
        <v>63</v>
      </c>
      <c r="C73" s="90">
        <f t="shared" si="70"/>
        <v>1101</v>
      </c>
      <c r="D73" s="90">
        <f t="shared" si="70"/>
        <v>1005</v>
      </c>
      <c r="E73" s="90">
        <f t="shared" si="70"/>
        <v>8</v>
      </c>
      <c r="F73" s="90">
        <f t="shared" si="70"/>
        <v>33</v>
      </c>
      <c r="G73" s="90">
        <f t="shared" si="70"/>
        <v>7</v>
      </c>
      <c r="H73" s="90">
        <f t="shared" si="70"/>
        <v>957</v>
      </c>
    </row>
    <row r="74" spans="1:8">
      <c r="A74" s="75" t="s">
        <v>12</v>
      </c>
      <c r="B74" s="91">
        <f t="shared" ref="B74:H74" si="71">B73/B72*100</f>
        <v>48.761609907120743</v>
      </c>
      <c r="C74" s="91">
        <f t="shared" si="71"/>
        <v>20.209251101321584</v>
      </c>
      <c r="D74" s="91">
        <f t="shared" si="71"/>
        <v>20.738753611225754</v>
      </c>
      <c r="E74" s="91" t="e">
        <f t="shared" si="71"/>
        <v>#DIV/0!</v>
      </c>
      <c r="F74" s="91">
        <f t="shared" si="71"/>
        <v>2.5306748466257667</v>
      </c>
      <c r="G74" s="91">
        <f t="shared" si="71"/>
        <v>1.837270341207349</v>
      </c>
      <c r="H74" s="91">
        <f t="shared" si="71"/>
        <v>30.275229357798167</v>
      </c>
    </row>
    <row r="75" spans="1:8">
      <c r="A75" s="75" t="s">
        <v>31</v>
      </c>
      <c r="B75" s="90">
        <f t="shared" ref="B75:H76" si="72">K38+S38+AK38</f>
        <v>136.80000000000001</v>
      </c>
      <c r="C75" s="90">
        <f t="shared" si="72"/>
        <v>4850</v>
      </c>
      <c r="D75" s="90">
        <f t="shared" si="72"/>
        <v>4583</v>
      </c>
      <c r="E75" s="90">
        <f t="shared" si="72"/>
        <v>487</v>
      </c>
      <c r="F75" s="90">
        <f t="shared" si="72"/>
        <v>670</v>
      </c>
      <c r="G75" s="90">
        <f t="shared" si="72"/>
        <v>503</v>
      </c>
      <c r="H75" s="90">
        <f t="shared" si="72"/>
        <v>2923</v>
      </c>
    </row>
    <row r="76" spans="1:8">
      <c r="A76" s="75" t="s">
        <v>52</v>
      </c>
      <c r="B76" s="90">
        <f t="shared" si="72"/>
        <v>109.4</v>
      </c>
      <c r="C76" s="90">
        <f t="shared" si="72"/>
        <v>4984</v>
      </c>
      <c r="D76" s="90">
        <f t="shared" si="72"/>
        <v>4484</v>
      </c>
      <c r="E76" s="90">
        <f t="shared" si="72"/>
        <v>319</v>
      </c>
      <c r="F76" s="90">
        <f t="shared" si="72"/>
        <v>186</v>
      </c>
      <c r="G76" s="90">
        <f t="shared" si="72"/>
        <v>6</v>
      </c>
      <c r="H76" s="90">
        <f t="shared" si="72"/>
        <v>3973</v>
      </c>
    </row>
    <row r="77" spans="1:8">
      <c r="A77" s="75" t="s">
        <v>12</v>
      </c>
      <c r="B77" s="91">
        <f t="shared" ref="B77:H77" si="73">B76/B75*100</f>
        <v>79.970760233918128</v>
      </c>
      <c r="C77" s="91">
        <f t="shared" si="73"/>
        <v>102.76288659793815</v>
      </c>
      <c r="D77" s="91">
        <f t="shared" si="73"/>
        <v>97.839842897665292</v>
      </c>
      <c r="E77" s="91">
        <f t="shared" si="73"/>
        <v>65.503080082135526</v>
      </c>
      <c r="F77" s="91">
        <f t="shared" si="73"/>
        <v>27.761194029850746</v>
      </c>
      <c r="G77" s="91">
        <f t="shared" si="73"/>
        <v>1.1928429423459244</v>
      </c>
      <c r="H77" s="91">
        <f t="shared" si="73"/>
        <v>135.92199794731442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74">B9-B46</f>
        <v>0</v>
      </c>
      <c r="C83" s="83">
        <f t="shared" si="74"/>
        <v>0</v>
      </c>
      <c r="D83" s="83">
        <f t="shared" si="74"/>
        <v>0</v>
      </c>
      <c r="E83" s="83">
        <f t="shared" si="74"/>
        <v>0</v>
      </c>
      <c r="F83" s="83">
        <f t="shared" si="74"/>
        <v>0</v>
      </c>
      <c r="G83" s="83">
        <f t="shared" si="74"/>
        <v>0</v>
      </c>
      <c r="H83" s="83">
        <f t="shared" si="74"/>
        <v>0</v>
      </c>
    </row>
    <row r="84" spans="1:8">
      <c r="A84" s="84" t="s">
        <v>50</v>
      </c>
      <c r="B84" s="83">
        <f t="shared" si="74"/>
        <v>0</v>
      </c>
      <c r="C84" s="83">
        <f t="shared" si="74"/>
        <v>0</v>
      </c>
      <c r="D84" s="83">
        <f t="shared" si="74"/>
        <v>0</v>
      </c>
      <c r="E84" s="83">
        <f t="shared" si="74"/>
        <v>0</v>
      </c>
      <c r="F84" s="83">
        <f t="shared" si="74"/>
        <v>0</v>
      </c>
      <c r="G84" s="83">
        <f t="shared" si="74"/>
        <v>0</v>
      </c>
      <c r="H84" s="83">
        <f t="shared" si="74"/>
        <v>0</v>
      </c>
    </row>
    <row r="85" spans="1:8">
      <c r="A85" s="85" t="s">
        <v>44</v>
      </c>
      <c r="B85" s="83">
        <f t="shared" si="74"/>
        <v>0</v>
      </c>
      <c r="C85" s="83">
        <f t="shared" si="74"/>
        <v>0</v>
      </c>
      <c r="D85" s="83">
        <f t="shared" si="74"/>
        <v>0</v>
      </c>
      <c r="E85" s="83">
        <f t="shared" si="74"/>
        <v>0</v>
      </c>
      <c r="F85" s="83">
        <f t="shared" si="74"/>
        <v>0</v>
      </c>
      <c r="G85" s="83">
        <f t="shared" si="74"/>
        <v>0</v>
      </c>
      <c r="H85" s="83">
        <f t="shared" si="74"/>
        <v>0</v>
      </c>
    </row>
    <row r="86" spans="1:8">
      <c r="A86" s="87" t="s">
        <v>11</v>
      </c>
      <c r="B86" s="83">
        <f t="shared" si="74"/>
        <v>0</v>
      </c>
      <c r="C86" s="83">
        <f t="shared" si="74"/>
        <v>0</v>
      </c>
      <c r="D86" s="83">
        <f t="shared" si="74"/>
        <v>0</v>
      </c>
      <c r="E86" s="83">
        <f t="shared" si="74"/>
        <v>0</v>
      </c>
      <c r="F86" s="83">
        <f t="shared" si="74"/>
        <v>0</v>
      </c>
      <c r="G86" s="83">
        <f t="shared" si="74"/>
        <v>0</v>
      </c>
      <c r="H86" s="83">
        <f t="shared" si="74"/>
        <v>0</v>
      </c>
    </row>
    <row r="87" spans="1:8">
      <c r="A87" s="75" t="s">
        <v>40</v>
      </c>
      <c r="B87" s="83">
        <f t="shared" si="74"/>
        <v>0</v>
      </c>
      <c r="C87" s="83">
        <f t="shared" si="74"/>
        <v>0</v>
      </c>
      <c r="D87" s="83">
        <f t="shared" si="74"/>
        <v>0</v>
      </c>
      <c r="E87" s="83">
        <f t="shared" si="74"/>
        <v>0</v>
      </c>
      <c r="F87" s="83">
        <f t="shared" si="74"/>
        <v>0</v>
      </c>
      <c r="G87" s="83">
        <f t="shared" si="74"/>
        <v>0</v>
      </c>
      <c r="H87" s="83">
        <f t="shared" si="74"/>
        <v>0</v>
      </c>
    </row>
    <row r="88" spans="1:8">
      <c r="A88" s="75" t="s">
        <v>50</v>
      </c>
      <c r="B88" s="83">
        <f t="shared" si="74"/>
        <v>0</v>
      </c>
      <c r="C88" s="83">
        <f t="shared" si="74"/>
        <v>0</v>
      </c>
      <c r="D88" s="83">
        <f t="shared" si="74"/>
        <v>0</v>
      </c>
      <c r="E88" s="83">
        <f t="shared" si="74"/>
        <v>0</v>
      </c>
      <c r="F88" s="83">
        <f t="shared" si="74"/>
        <v>0</v>
      </c>
      <c r="G88" s="83">
        <f t="shared" si="74"/>
        <v>0</v>
      </c>
      <c r="H88" s="83">
        <f t="shared" si="74"/>
        <v>0</v>
      </c>
    </row>
    <row r="89" spans="1:8">
      <c r="A89" s="75" t="s">
        <v>44</v>
      </c>
      <c r="B89" s="83">
        <f t="shared" si="74"/>
        <v>0</v>
      </c>
      <c r="C89" s="83">
        <f t="shared" si="74"/>
        <v>0</v>
      </c>
      <c r="D89" s="83">
        <f t="shared" si="74"/>
        <v>0</v>
      </c>
      <c r="E89" s="83">
        <f t="shared" si="74"/>
        <v>0</v>
      </c>
      <c r="F89" s="83">
        <f t="shared" si="74"/>
        <v>0</v>
      </c>
      <c r="G89" s="83">
        <f t="shared" si="74"/>
        <v>0</v>
      </c>
      <c r="H89" s="83">
        <f t="shared" si="74"/>
        <v>0</v>
      </c>
    </row>
    <row r="90" spans="1:8">
      <c r="A90" s="75" t="s">
        <v>13</v>
      </c>
      <c r="B90" s="83">
        <f t="shared" si="74"/>
        <v>0</v>
      </c>
      <c r="C90" s="83">
        <f t="shared" si="74"/>
        <v>0</v>
      </c>
      <c r="D90" s="83">
        <f t="shared" si="74"/>
        <v>0</v>
      </c>
      <c r="E90" s="83">
        <f t="shared" si="74"/>
        <v>0</v>
      </c>
      <c r="F90" s="83">
        <f t="shared" si="74"/>
        <v>0</v>
      </c>
      <c r="G90" s="83">
        <f t="shared" si="74"/>
        <v>0</v>
      </c>
      <c r="H90" s="83">
        <f t="shared" si="74"/>
        <v>0</v>
      </c>
    </row>
    <row r="91" spans="1:8">
      <c r="A91" s="92" t="s">
        <v>14</v>
      </c>
      <c r="B91" s="83">
        <f t="shared" si="74"/>
        <v>0</v>
      </c>
      <c r="C91" s="83">
        <f t="shared" si="74"/>
        <v>0</v>
      </c>
      <c r="D91" s="83">
        <f t="shared" si="74"/>
        <v>0</v>
      </c>
      <c r="E91" s="83">
        <f t="shared" si="74"/>
        <v>0</v>
      </c>
      <c r="F91" s="83">
        <f t="shared" si="74"/>
        <v>0</v>
      </c>
      <c r="G91" s="83">
        <f t="shared" si="74"/>
        <v>0</v>
      </c>
      <c r="H91" s="83">
        <f t="shared" si="74"/>
        <v>0</v>
      </c>
    </row>
    <row r="92" spans="1:8">
      <c r="A92" s="75" t="s">
        <v>15</v>
      </c>
      <c r="B92" s="83">
        <f t="shared" si="74"/>
        <v>0</v>
      </c>
      <c r="C92" s="83">
        <f t="shared" si="74"/>
        <v>0</v>
      </c>
      <c r="D92" s="83">
        <f t="shared" si="74"/>
        <v>0</v>
      </c>
      <c r="E92" s="83">
        <f t="shared" si="74"/>
        <v>0</v>
      </c>
      <c r="F92" s="83">
        <f t="shared" si="74"/>
        <v>0</v>
      </c>
      <c r="G92" s="83">
        <f t="shared" si="74"/>
        <v>0</v>
      </c>
      <c r="H92" s="83">
        <f t="shared" si="74"/>
        <v>0</v>
      </c>
    </row>
    <row r="93" spans="1:8">
      <c r="A93" s="87" t="s">
        <v>16</v>
      </c>
      <c r="B93" s="83">
        <f t="shared" si="74"/>
        <v>0</v>
      </c>
      <c r="C93" s="83">
        <f t="shared" si="74"/>
        <v>0</v>
      </c>
      <c r="D93" s="83">
        <f t="shared" si="74"/>
        <v>0</v>
      </c>
      <c r="E93" s="83">
        <f t="shared" si="74"/>
        <v>0</v>
      </c>
      <c r="F93" s="83">
        <f t="shared" si="74"/>
        <v>0</v>
      </c>
      <c r="G93" s="83">
        <f t="shared" si="74"/>
        <v>0</v>
      </c>
      <c r="H93" s="83">
        <f t="shared" si="74"/>
        <v>0</v>
      </c>
    </row>
    <row r="94" spans="1:8">
      <c r="A94" s="75" t="s">
        <v>40</v>
      </c>
      <c r="B94" s="83">
        <f t="shared" si="74"/>
        <v>0</v>
      </c>
      <c r="C94" s="83">
        <f t="shared" si="74"/>
        <v>0</v>
      </c>
      <c r="D94" s="83">
        <f t="shared" si="74"/>
        <v>0</v>
      </c>
      <c r="E94" s="83">
        <f t="shared" si="74"/>
        <v>0</v>
      </c>
      <c r="F94" s="83">
        <f t="shared" si="74"/>
        <v>0</v>
      </c>
      <c r="G94" s="83">
        <f t="shared" si="74"/>
        <v>0</v>
      </c>
      <c r="H94" s="83">
        <f t="shared" si="74"/>
        <v>0</v>
      </c>
    </row>
    <row r="95" spans="1:8">
      <c r="A95" s="92" t="s">
        <v>50</v>
      </c>
      <c r="B95" s="83">
        <f t="shared" si="74"/>
        <v>0</v>
      </c>
      <c r="C95" s="83">
        <f t="shared" si="74"/>
        <v>0</v>
      </c>
      <c r="D95" s="83">
        <f t="shared" si="74"/>
        <v>0</v>
      </c>
      <c r="E95" s="83">
        <f t="shared" si="74"/>
        <v>0</v>
      </c>
      <c r="F95" s="83">
        <f t="shared" si="74"/>
        <v>0</v>
      </c>
      <c r="G95" s="83">
        <f t="shared" si="74"/>
        <v>0</v>
      </c>
      <c r="H95" s="83">
        <f t="shared" si="74"/>
        <v>0</v>
      </c>
    </row>
    <row r="96" spans="1:8">
      <c r="A96" s="75" t="s">
        <v>44</v>
      </c>
      <c r="B96" s="83">
        <f t="shared" si="74"/>
        <v>0</v>
      </c>
      <c r="C96" s="83">
        <f t="shared" si="74"/>
        <v>0</v>
      </c>
      <c r="D96" s="83">
        <f t="shared" si="74"/>
        <v>0</v>
      </c>
      <c r="E96" s="83">
        <f t="shared" si="74"/>
        <v>0</v>
      </c>
      <c r="F96" s="83">
        <f t="shared" si="74"/>
        <v>0</v>
      </c>
      <c r="G96" s="83">
        <f t="shared" si="74"/>
        <v>0</v>
      </c>
      <c r="H96" s="83">
        <f t="shared" si="74"/>
        <v>0</v>
      </c>
    </row>
    <row r="97" spans="1:8">
      <c r="A97" s="75" t="s">
        <v>21</v>
      </c>
      <c r="B97" s="83">
        <f t="shared" si="74"/>
        <v>0</v>
      </c>
      <c r="C97" s="83">
        <f t="shared" si="74"/>
        <v>0</v>
      </c>
      <c r="D97" s="83">
        <f t="shared" si="74"/>
        <v>0</v>
      </c>
      <c r="E97" s="83">
        <f t="shared" si="74"/>
        <v>0</v>
      </c>
      <c r="F97" s="83">
        <f t="shared" si="74"/>
        <v>0</v>
      </c>
      <c r="G97" s="83">
        <f t="shared" si="74"/>
        <v>0</v>
      </c>
      <c r="H97" s="83">
        <f t="shared" si="74"/>
        <v>0</v>
      </c>
    </row>
    <row r="98" spans="1:8">
      <c r="A98" s="75" t="s">
        <v>51</v>
      </c>
      <c r="B98" s="83">
        <f t="shared" si="74"/>
        <v>0</v>
      </c>
      <c r="C98" s="83">
        <f t="shared" si="74"/>
        <v>0</v>
      </c>
      <c r="D98" s="83">
        <f t="shared" si="74"/>
        <v>0</v>
      </c>
      <c r="E98" s="83">
        <f t="shared" si="74"/>
        <v>0</v>
      </c>
      <c r="F98" s="83">
        <f t="shared" si="74"/>
        <v>0</v>
      </c>
      <c r="G98" s="83">
        <f t="shared" si="74"/>
        <v>0</v>
      </c>
      <c r="H98" s="83">
        <f t="shared" si="74"/>
        <v>0</v>
      </c>
    </row>
    <row r="99" spans="1:8">
      <c r="A99" s="75" t="s">
        <v>12</v>
      </c>
      <c r="B99" s="83">
        <f t="shared" ref="B99:H114" si="75">B25-B62</f>
        <v>0</v>
      </c>
      <c r="C99" s="83">
        <f t="shared" si="75"/>
        <v>0</v>
      </c>
      <c r="D99" s="83">
        <f t="shared" si="75"/>
        <v>0</v>
      </c>
      <c r="E99" s="83">
        <f t="shared" si="75"/>
        <v>0</v>
      </c>
      <c r="F99" s="83">
        <f t="shared" si="75"/>
        <v>0</v>
      </c>
      <c r="G99" s="83">
        <f t="shared" si="75"/>
        <v>0</v>
      </c>
      <c r="H99" s="83">
        <f t="shared" si="75"/>
        <v>0</v>
      </c>
    </row>
    <row r="100" spans="1:8">
      <c r="A100" s="75" t="s">
        <v>23</v>
      </c>
      <c r="B100" s="83">
        <f t="shared" si="75"/>
        <v>0</v>
      </c>
      <c r="C100" s="83">
        <f t="shared" si="75"/>
        <v>0</v>
      </c>
      <c r="D100" s="83">
        <f t="shared" si="75"/>
        <v>0</v>
      </c>
      <c r="E100" s="83">
        <f t="shared" si="75"/>
        <v>0</v>
      </c>
      <c r="F100" s="83">
        <f t="shared" si="75"/>
        <v>0</v>
      </c>
      <c r="G100" s="83">
        <f t="shared" si="75"/>
        <v>0</v>
      </c>
      <c r="H100" s="83">
        <f t="shared" si="75"/>
        <v>0</v>
      </c>
    </row>
    <row r="101" spans="1:8">
      <c r="A101" s="75" t="s">
        <v>45</v>
      </c>
      <c r="B101" s="83">
        <f t="shared" si="75"/>
        <v>0</v>
      </c>
      <c r="C101" s="83">
        <f t="shared" si="75"/>
        <v>0</v>
      </c>
      <c r="D101" s="83">
        <f t="shared" si="75"/>
        <v>0</v>
      </c>
      <c r="E101" s="83">
        <f t="shared" si="75"/>
        <v>0</v>
      </c>
      <c r="F101" s="83">
        <f t="shared" si="75"/>
        <v>0</v>
      </c>
      <c r="G101" s="83">
        <f t="shared" si="75"/>
        <v>0</v>
      </c>
      <c r="H101" s="83">
        <f t="shared" si="75"/>
        <v>0</v>
      </c>
    </row>
    <row r="102" spans="1:8">
      <c r="A102" s="75" t="s">
        <v>12</v>
      </c>
      <c r="B102" s="83">
        <f t="shared" si="75"/>
        <v>0</v>
      </c>
      <c r="C102" s="83">
        <f t="shared" si="75"/>
        <v>0</v>
      </c>
      <c r="D102" s="83">
        <f t="shared" si="75"/>
        <v>0</v>
      </c>
      <c r="E102" s="83">
        <f t="shared" si="75"/>
        <v>0</v>
      </c>
      <c r="F102" s="83">
        <f t="shared" si="75"/>
        <v>0</v>
      </c>
      <c r="G102" s="83">
        <f t="shared" si="75"/>
        <v>0</v>
      </c>
      <c r="H102" s="83">
        <f t="shared" si="75"/>
        <v>0</v>
      </c>
    </row>
    <row r="103" spans="1:8">
      <c r="A103" s="75" t="s">
        <v>25</v>
      </c>
      <c r="B103" s="83">
        <f t="shared" si="75"/>
        <v>0</v>
      </c>
      <c r="C103" s="83">
        <f t="shared" si="75"/>
        <v>0</v>
      </c>
      <c r="D103" s="83">
        <f t="shared" si="75"/>
        <v>0</v>
      </c>
      <c r="E103" s="83">
        <f t="shared" si="75"/>
        <v>0</v>
      </c>
      <c r="F103" s="83">
        <f t="shared" si="75"/>
        <v>0</v>
      </c>
      <c r="G103" s="83">
        <f t="shared" si="75"/>
        <v>0</v>
      </c>
      <c r="H103" s="83">
        <f t="shared" si="75"/>
        <v>0</v>
      </c>
    </row>
    <row r="104" spans="1:8">
      <c r="A104" s="75" t="s">
        <v>46</v>
      </c>
      <c r="B104" s="83">
        <f t="shared" si="75"/>
        <v>0</v>
      </c>
      <c r="C104" s="83">
        <f t="shared" si="75"/>
        <v>0</v>
      </c>
      <c r="D104" s="83">
        <f t="shared" si="75"/>
        <v>0</v>
      </c>
      <c r="E104" s="83">
        <f t="shared" si="75"/>
        <v>0</v>
      </c>
      <c r="F104" s="83">
        <f t="shared" si="75"/>
        <v>0</v>
      </c>
      <c r="G104" s="83">
        <f t="shared" si="75"/>
        <v>0</v>
      </c>
      <c r="H104" s="83">
        <f t="shared" si="75"/>
        <v>0</v>
      </c>
    </row>
    <row r="105" spans="1:8">
      <c r="A105" s="75" t="s">
        <v>12</v>
      </c>
      <c r="B105" s="83">
        <f t="shared" si="75"/>
        <v>0</v>
      </c>
      <c r="C105" s="83">
        <f t="shared" si="75"/>
        <v>0</v>
      </c>
      <c r="D105" s="83">
        <f t="shared" si="75"/>
        <v>0</v>
      </c>
      <c r="E105" s="83">
        <f t="shared" si="75"/>
        <v>0</v>
      </c>
      <c r="F105" s="83">
        <f t="shared" si="75"/>
        <v>0</v>
      </c>
      <c r="G105" s="83">
        <f t="shared" si="75"/>
        <v>0</v>
      </c>
      <c r="H105" s="83">
        <f t="shared" si="75"/>
        <v>0</v>
      </c>
    </row>
    <row r="106" spans="1:8">
      <c r="A106" s="75" t="s">
        <v>27</v>
      </c>
      <c r="B106" s="83">
        <f t="shared" si="75"/>
        <v>0</v>
      </c>
      <c r="C106" s="83">
        <f t="shared" si="75"/>
        <v>0</v>
      </c>
      <c r="D106" s="83">
        <f t="shared" si="75"/>
        <v>0</v>
      </c>
      <c r="E106" s="83">
        <f t="shared" si="75"/>
        <v>0</v>
      </c>
      <c r="F106" s="83">
        <f t="shared" si="75"/>
        <v>0</v>
      </c>
      <c r="G106" s="83">
        <f t="shared" si="75"/>
        <v>0</v>
      </c>
      <c r="H106" s="83">
        <f t="shared" si="75"/>
        <v>0</v>
      </c>
    </row>
    <row r="107" spans="1:8">
      <c r="A107" s="75" t="s">
        <v>47</v>
      </c>
      <c r="B107" s="83">
        <f t="shared" si="75"/>
        <v>0</v>
      </c>
      <c r="C107" s="83">
        <f t="shared" si="75"/>
        <v>0</v>
      </c>
      <c r="D107" s="83">
        <f t="shared" si="75"/>
        <v>0</v>
      </c>
      <c r="E107" s="83">
        <f t="shared" si="75"/>
        <v>0</v>
      </c>
      <c r="F107" s="83">
        <f t="shared" si="75"/>
        <v>0</v>
      </c>
      <c r="G107" s="83">
        <f t="shared" si="75"/>
        <v>0</v>
      </c>
      <c r="H107" s="83">
        <f t="shared" si="75"/>
        <v>0</v>
      </c>
    </row>
    <row r="108" spans="1:8">
      <c r="A108" s="75" t="s">
        <v>12</v>
      </c>
      <c r="B108" s="83">
        <f t="shared" si="75"/>
        <v>0</v>
      </c>
      <c r="C108" s="83">
        <f t="shared" si="75"/>
        <v>0</v>
      </c>
      <c r="D108" s="83">
        <f t="shared" si="75"/>
        <v>0</v>
      </c>
      <c r="E108" s="83">
        <f t="shared" si="75"/>
        <v>0</v>
      </c>
      <c r="F108" s="83">
        <f t="shared" si="75"/>
        <v>0</v>
      </c>
      <c r="G108" s="83" t="e">
        <f t="shared" si="75"/>
        <v>#DIV/0!</v>
      </c>
      <c r="H108" s="83">
        <f t="shared" si="75"/>
        <v>0</v>
      </c>
    </row>
    <row r="109" spans="1:8">
      <c r="A109" s="75" t="s">
        <v>29</v>
      </c>
      <c r="B109" s="83">
        <f t="shared" si="75"/>
        <v>0</v>
      </c>
      <c r="C109" s="83">
        <f t="shared" si="75"/>
        <v>0</v>
      </c>
      <c r="D109" s="83">
        <f t="shared" si="75"/>
        <v>0</v>
      </c>
      <c r="E109" s="83">
        <f t="shared" si="75"/>
        <v>0</v>
      </c>
      <c r="F109" s="83">
        <f t="shared" si="75"/>
        <v>0</v>
      </c>
      <c r="G109" s="83">
        <f t="shared" si="75"/>
        <v>0</v>
      </c>
      <c r="H109" s="83">
        <f t="shared" si="75"/>
        <v>0</v>
      </c>
    </row>
    <row r="110" spans="1:8">
      <c r="A110" s="75" t="s">
        <v>48</v>
      </c>
      <c r="B110" s="83">
        <f t="shared" si="75"/>
        <v>0</v>
      </c>
      <c r="C110" s="83">
        <f t="shared" si="75"/>
        <v>0</v>
      </c>
      <c r="D110" s="83">
        <f t="shared" si="75"/>
        <v>0</v>
      </c>
      <c r="E110" s="83">
        <f t="shared" si="75"/>
        <v>0</v>
      </c>
      <c r="F110" s="83">
        <f t="shared" si="75"/>
        <v>0</v>
      </c>
      <c r="G110" s="83">
        <f t="shared" si="75"/>
        <v>0</v>
      </c>
      <c r="H110" s="83">
        <f t="shared" si="75"/>
        <v>0</v>
      </c>
    </row>
    <row r="111" spans="1:8">
      <c r="A111" s="75" t="s">
        <v>12</v>
      </c>
      <c r="B111" s="83">
        <f t="shared" si="75"/>
        <v>0</v>
      </c>
      <c r="C111" s="83">
        <f t="shared" si="75"/>
        <v>0</v>
      </c>
      <c r="D111" s="83">
        <f t="shared" si="75"/>
        <v>0</v>
      </c>
      <c r="E111" s="83" t="e">
        <f t="shared" si="75"/>
        <v>#DIV/0!</v>
      </c>
      <c r="F111" s="83">
        <f t="shared" si="75"/>
        <v>0</v>
      </c>
      <c r="G111" s="83">
        <f t="shared" si="75"/>
        <v>0</v>
      </c>
      <c r="H111" s="83">
        <f t="shared" si="75"/>
        <v>0</v>
      </c>
    </row>
    <row r="112" spans="1:8">
      <c r="A112" s="75" t="s">
        <v>31</v>
      </c>
      <c r="B112" s="83">
        <f t="shared" si="75"/>
        <v>0</v>
      </c>
      <c r="C112" s="83">
        <f t="shared" si="75"/>
        <v>0</v>
      </c>
      <c r="D112" s="83">
        <f t="shared" si="75"/>
        <v>0</v>
      </c>
      <c r="E112" s="83">
        <f t="shared" si="75"/>
        <v>0</v>
      </c>
      <c r="F112" s="83">
        <f t="shared" si="75"/>
        <v>0</v>
      </c>
      <c r="G112" s="83">
        <f t="shared" si="75"/>
        <v>0</v>
      </c>
      <c r="H112" s="83">
        <f t="shared" si="75"/>
        <v>0</v>
      </c>
    </row>
    <row r="113" spans="1:8">
      <c r="A113" s="75" t="s">
        <v>52</v>
      </c>
      <c r="B113" s="83">
        <f t="shared" si="75"/>
        <v>0</v>
      </c>
      <c r="C113" s="83">
        <f t="shared" si="75"/>
        <v>0</v>
      </c>
      <c r="D113" s="83">
        <f t="shared" si="75"/>
        <v>0</v>
      </c>
      <c r="E113" s="83">
        <f t="shared" si="75"/>
        <v>0</v>
      </c>
      <c r="F113" s="83">
        <f t="shared" si="75"/>
        <v>0</v>
      </c>
      <c r="G113" s="83">
        <f t="shared" si="75"/>
        <v>0</v>
      </c>
      <c r="H113" s="83">
        <f t="shared" si="75"/>
        <v>0</v>
      </c>
    </row>
    <row r="114" spans="1:8">
      <c r="A114" s="75" t="s">
        <v>12</v>
      </c>
      <c r="B114" s="83">
        <f t="shared" si="75"/>
        <v>0</v>
      </c>
      <c r="C114" s="83">
        <f t="shared" si="75"/>
        <v>0</v>
      </c>
      <c r="D114" s="83">
        <f t="shared" si="75"/>
        <v>0</v>
      </c>
      <c r="E114" s="83">
        <f t="shared" si="75"/>
        <v>0</v>
      </c>
      <c r="F114" s="83">
        <f t="shared" si="75"/>
        <v>0</v>
      </c>
      <c r="G114" s="83">
        <f t="shared" si="75"/>
        <v>0</v>
      </c>
      <c r="H114" s="83">
        <f t="shared" si="75"/>
        <v>0</v>
      </c>
    </row>
  </sheetData>
  <mergeCells count="18">
    <mergeCell ref="AA12:AH12"/>
    <mergeCell ref="AJ12:AQ12"/>
    <mergeCell ref="A1:H1"/>
    <mergeCell ref="E2:H2"/>
    <mergeCell ref="A3:H3"/>
    <mergeCell ref="A8:H8"/>
    <mergeCell ref="J8:Q8"/>
    <mergeCell ref="R8:Y8"/>
    <mergeCell ref="AA8:AH8"/>
    <mergeCell ref="AJ8:AQ8"/>
    <mergeCell ref="A12:H12"/>
    <mergeCell ref="J12:Q12"/>
    <mergeCell ref="R12:Y12"/>
    <mergeCell ref="AJ19:AQ19"/>
    <mergeCell ref="A19:H19"/>
    <mergeCell ref="J19:Q19"/>
    <mergeCell ref="R19:Y19"/>
    <mergeCell ref="AA19:AH19"/>
  </mergeCells>
  <phoneticPr fontId="17" type="noConversion"/>
  <pageMargins left="0.25" right="0.18" top="0.3" bottom="0.3" header="0.16" footer="0.1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/>
  <dimension ref="A1:BG114"/>
  <sheetViews>
    <sheetView topLeftCell="A4" zoomScaleNormal="100" zoomScaleSheetLayoutView="55" workbookViewId="0">
      <selection activeCell="A9" sqref="A9:AQ40"/>
    </sheetView>
  </sheetViews>
  <sheetFormatPr defaultRowHeight="13.2"/>
  <cols>
    <col min="1" max="1" width="15" customWidth="1"/>
    <col min="2" max="3" width="8.33203125" customWidth="1"/>
    <col min="4" max="4" width="8.6640625" customWidth="1"/>
    <col min="5" max="5" width="8.109375" customWidth="1"/>
    <col min="6" max="6" width="8" customWidth="1"/>
    <col min="7" max="7" width="7.6640625" customWidth="1"/>
    <col min="8" max="8" width="8.109375" customWidth="1"/>
    <col min="9" max="9" width="5.6640625" customWidth="1"/>
    <col min="10" max="10" width="14.33203125" customWidth="1"/>
    <col min="11" max="11" width="7.33203125" customWidth="1"/>
    <col min="12" max="12" width="7.6640625" customWidth="1"/>
    <col min="13" max="13" width="8.109375" customWidth="1"/>
    <col min="14" max="14" width="7.33203125" customWidth="1"/>
    <col min="15" max="15" width="7.88671875" customWidth="1"/>
    <col min="16" max="16" width="7.109375" customWidth="1"/>
    <col min="17" max="17" width="6.6640625" customWidth="1"/>
    <col min="18" max="18" width="14.33203125" customWidth="1"/>
    <col min="19" max="20" width="7.33203125" customWidth="1"/>
    <col min="21" max="21" width="8" customWidth="1"/>
    <col min="22" max="22" width="6.88671875" customWidth="1"/>
    <col min="23" max="24" width="7.6640625" customWidth="1"/>
    <col min="25" max="25" width="7.33203125" customWidth="1"/>
    <col min="26" max="26" width="3" customWidth="1"/>
    <col min="27" max="27" width="14.5546875" customWidth="1"/>
    <col min="28" max="28" width="6.88671875" customWidth="1"/>
    <col min="29" max="29" width="7.33203125" customWidth="1"/>
    <col min="30" max="30" width="8.33203125" customWidth="1"/>
    <col min="31" max="31" width="6.6640625" customWidth="1"/>
    <col min="32" max="32" width="6.88671875" customWidth="1"/>
    <col min="33" max="33" width="7.33203125" customWidth="1"/>
    <col min="34" max="34" width="6.6640625" customWidth="1"/>
    <col min="35" max="35" width="4.6640625" customWidth="1"/>
    <col min="36" max="36" width="14.109375" customWidth="1"/>
  </cols>
  <sheetData>
    <row r="1" spans="1:59" s="12" customFormat="1" ht="16.5" customHeight="1">
      <c r="A1" s="388"/>
      <c r="B1" s="476" t="s">
        <v>92</v>
      </c>
      <c r="C1" s="476"/>
      <c r="D1" s="476"/>
      <c r="E1" s="476"/>
      <c r="F1" s="476"/>
      <c r="G1" s="476"/>
      <c r="H1" s="476"/>
      <c r="I1"/>
      <c r="K1" s="37"/>
      <c r="L1" s="37"/>
      <c r="M1" s="37"/>
      <c r="N1" s="37"/>
      <c r="O1" s="37"/>
      <c r="P1" s="37"/>
      <c r="Q1" s="38" t="s">
        <v>33</v>
      </c>
    </row>
    <row r="2" spans="1:59" s="12" customFormat="1" ht="16.5" customHeight="1">
      <c r="A2" s="389"/>
      <c r="B2" s="477" t="s">
        <v>95</v>
      </c>
      <c r="C2" s="477"/>
      <c r="D2" s="477"/>
      <c r="E2" s="477"/>
      <c r="F2" s="477"/>
      <c r="G2" s="477"/>
      <c r="H2" s="477"/>
      <c r="I2"/>
      <c r="K2" s="37"/>
      <c r="L2" s="37"/>
      <c r="M2" s="37"/>
      <c r="N2" s="37"/>
      <c r="O2" s="37"/>
      <c r="P2" s="37"/>
      <c r="Q2" s="38"/>
    </row>
    <row r="3" spans="1:59" s="12" customFormat="1" ht="19.5" customHeight="1">
      <c r="A3" s="389"/>
      <c r="B3" s="389"/>
      <c r="C3" s="390"/>
      <c r="D3" s="391"/>
      <c r="E3" s="392"/>
      <c r="F3" s="392"/>
      <c r="G3" s="392"/>
      <c r="H3" s="392"/>
      <c r="I3"/>
    </row>
    <row r="4" spans="1:59" s="37" customFormat="1" ht="30.75" customHeight="1">
      <c r="A4" s="479" t="s">
        <v>56</v>
      </c>
      <c r="B4" s="479"/>
      <c r="C4" s="479"/>
      <c r="D4" s="479"/>
      <c r="E4" s="479"/>
      <c r="F4" s="479"/>
      <c r="G4" s="479"/>
      <c r="H4" s="479"/>
      <c r="I4"/>
      <c r="J4" s="40"/>
      <c r="K4" s="12"/>
      <c r="L4" s="12"/>
      <c r="M4" s="12"/>
      <c r="N4" s="12"/>
      <c r="O4" s="12"/>
      <c r="P4" s="12"/>
      <c r="Q4" s="12"/>
    </row>
    <row r="5" spans="1:59" ht="17.25" customHeight="1">
      <c r="A5" s="478" t="s">
        <v>125</v>
      </c>
      <c r="B5" s="478"/>
      <c r="C5" s="478"/>
      <c r="D5" s="478"/>
      <c r="E5" s="478"/>
      <c r="F5" s="478"/>
      <c r="G5" s="478"/>
      <c r="H5" s="478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  <c r="AZ5" s="2"/>
      <c r="BE5" s="2"/>
    </row>
    <row r="6" spans="1:59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109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09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  <c r="AU6" s="11"/>
      <c r="AV6" s="11"/>
      <c r="AW6" s="11"/>
      <c r="AX6" s="11"/>
      <c r="AY6" s="11"/>
      <c r="AZ6" s="109"/>
      <c r="BA6" s="109"/>
      <c r="BB6" s="109"/>
      <c r="BC6" s="109"/>
      <c r="BD6" s="109"/>
      <c r="BE6" s="109"/>
      <c r="BF6" s="109"/>
      <c r="BG6" s="109"/>
    </row>
    <row r="7" spans="1:59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109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09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  <c r="AU7" s="11"/>
      <c r="AV7" s="11"/>
      <c r="AW7" s="11"/>
      <c r="AX7" s="11"/>
      <c r="AY7" s="11"/>
      <c r="AZ7" s="109"/>
      <c r="BA7" s="109"/>
      <c r="BB7" s="109"/>
      <c r="BC7" s="109"/>
      <c r="BD7" s="109"/>
      <c r="BE7" s="109"/>
      <c r="BF7" s="109"/>
      <c r="BG7" s="109"/>
    </row>
    <row r="8" spans="1:59" s="115" customFormat="1">
      <c r="A8" s="469" t="s">
        <v>17</v>
      </c>
      <c r="B8" s="470"/>
      <c r="C8" s="470"/>
      <c r="D8" s="470"/>
      <c r="E8" s="470"/>
      <c r="F8" s="470"/>
      <c r="G8" s="470"/>
      <c r="H8" s="471"/>
      <c r="I8"/>
      <c r="J8" s="480" t="s">
        <v>17</v>
      </c>
      <c r="K8" s="480"/>
      <c r="L8" s="480"/>
      <c r="M8" s="480"/>
      <c r="N8" s="480"/>
      <c r="O8" s="480"/>
      <c r="P8" s="480"/>
      <c r="Q8" s="480"/>
      <c r="R8" s="480" t="s">
        <v>17</v>
      </c>
      <c r="S8" s="480"/>
      <c r="T8" s="480"/>
      <c r="U8" s="480"/>
      <c r="V8" s="480"/>
      <c r="W8" s="480"/>
      <c r="X8" s="480"/>
      <c r="Y8" s="480"/>
      <c r="Z8" s="186"/>
      <c r="AA8" s="469" t="s">
        <v>17</v>
      </c>
      <c r="AB8" s="470"/>
      <c r="AC8" s="470"/>
      <c r="AD8" s="470"/>
      <c r="AE8" s="470"/>
      <c r="AF8" s="470"/>
      <c r="AG8" s="470"/>
      <c r="AH8" s="471"/>
      <c r="AI8" s="186"/>
      <c r="AJ8" s="469" t="s">
        <v>17</v>
      </c>
      <c r="AK8" s="470"/>
      <c r="AL8" s="470"/>
      <c r="AM8" s="470"/>
      <c r="AN8" s="470"/>
      <c r="AO8" s="470"/>
      <c r="AP8" s="470"/>
      <c r="AQ8" s="471"/>
      <c r="AZ8" s="482"/>
      <c r="BA8" s="482"/>
      <c r="BB8" s="482"/>
      <c r="BC8" s="482"/>
      <c r="BD8" s="482"/>
      <c r="BE8" s="482"/>
      <c r="BF8" s="482"/>
      <c r="BG8" s="482"/>
    </row>
    <row r="9" spans="1:59" s="115" customFormat="1">
      <c r="A9" s="33" t="s">
        <v>18</v>
      </c>
      <c r="B9" s="42">
        <f>B13+B20</f>
        <v>683</v>
      </c>
      <c r="C9" s="33">
        <f t="shared" ref="C9:H10" si="0">C13+C20</f>
        <v>37286</v>
      </c>
      <c r="D9" s="33">
        <f t="shared" si="0"/>
        <v>30742</v>
      </c>
      <c r="E9" s="33">
        <f t="shared" si="0"/>
        <v>6669</v>
      </c>
      <c r="F9" s="33">
        <f t="shared" si="0"/>
        <v>6129</v>
      </c>
      <c r="G9" s="33">
        <f t="shared" si="0"/>
        <v>1780</v>
      </c>
      <c r="H9" s="33">
        <f t="shared" si="0"/>
        <v>16164</v>
      </c>
      <c r="I9" s="201"/>
      <c r="J9" s="33" t="s">
        <v>18</v>
      </c>
      <c r="K9" s="42">
        <f>K13+K20</f>
        <v>380.2</v>
      </c>
      <c r="L9" s="33">
        <f>L13+L20</f>
        <v>16722</v>
      </c>
      <c r="M9" s="33">
        <f t="shared" ref="M9:Q10" si="1">M13+M20</f>
        <v>13488</v>
      </c>
      <c r="N9" s="33">
        <f>N13+N20</f>
        <v>1590</v>
      </c>
      <c r="O9" s="33">
        <f>O13+O20</f>
        <v>3706</v>
      </c>
      <c r="P9" s="33">
        <f>P13+P20</f>
        <v>1381</v>
      </c>
      <c r="Q9" s="33">
        <f>Q13+Q20</f>
        <v>6811</v>
      </c>
      <c r="R9" s="33" t="s">
        <v>18</v>
      </c>
      <c r="S9" s="42">
        <f>S13+S20</f>
        <v>297.49999999999994</v>
      </c>
      <c r="T9" s="33">
        <f>T13+T20</f>
        <v>20248</v>
      </c>
      <c r="U9" s="33">
        <f>U13+U20</f>
        <v>16989</v>
      </c>
      <c r="V9" s="33">
        <f t="shared" ref="U9:Y10" si="2">V13+V20</f>
        <v>5020</v>
      </c>
      <c r="W9" s="33">
        <f t="shared" si="2"/>
        <v>2350</v>
      </c>
      <c r="X9" s="33">
        <f t="shared" si="2"/>
        <v>393</v>
      </c>
      <c r="Y9" s="33">
        <f t="shared" si="2"/>
        <v>9226</v>
      </c>
      <c r="Z9" s="110"/>
      <c r="AA9" s="33" t="s">
        <v>18</v>
      </c>
      <c r="AB9" s="42">
        <f>AB20+AB13</f>
        <v>260.59999999999997</v>
      </c>
      <c r="AC9" s="33">
        <f t="shared" ref="AC9:AH10" si="3">AC13+AC20</f>
        <v>17890</v>
      </c>
      <c r="AD9" s="33">
        <f t="shared" si="3"/>
        <v>14960</v>
      </c>
      <c r="AE9" s="33">
        <f t="shared" si="3"/>
        <v>4978</v>
      </c>
      <c r="AF9" s="33">
        <f t="shared" si="3"/>
        <v>1791</v>
      </c>
      <c r="AG9" s="33">
        <f t="shared" si="3"/>
        <v>122</v>
      </c>
      <c r="AH9" s="380">
        <f t="shared" si="3"/>
        <v>8071</v>
      </c>
      <c r="AI9" s="381"/>
      <c r="AJ9" s="63" t="s">
        <v>18</v>
      </c>
      <c r="AK9" s="42">
        <f>AK13+AK20</f>
        <v>5.3</v>
      </c>
      <c r="AL9" s="33">
        <f t="shared" ref="AL9:AQ10" si="4">AL13+AL20</f>
        <v>316</v>
      </c>
      <c r="AM9" s="33">
        <f t="shared" si="4"/>
        <v>265</v>
      </c>
      <c r="AN9" s="33">
        <f t="shared" si="4"/>
        <v>59</v>
      </c>
      <c r="AO9" s="33">
        <f t="shared" si="4"/>
        <v>73</v>
      </c>
      <c r="AP9" s="33">
        <f t="shared" si="4"/>
        <v>6</v>
      </c>
      <c r="AQ9" s="33">
        <f t="shared" si="4"/>
        <v>127</v>
      </c>
      <c r="AV9" s="110"/>
      <c r="AW9" s="110"/>
      <c r="AX9" s="110"/>
      <c r="AY9" s="110"/>
      <c r="AZ9" s="110"/>
      <c r="BA9" s="111"/>
      <c r="BB9" s="110"/>
      <c r="BC9" s="110"/>
      <c r="BD9" s="110"/>
      <c r="BE9" s="110"/>
      <c r="BF9" s="110"/>
      <c r="BG9" s="110"/>
    </row>
    <row r="10" spans="1:59" s="115" customFormat="1">
      <c r="A10" s="7" t="s">
        <v>19</v>
      </c>
      <c r="B10" s="42">
        <f>B14+B21</f>
        <v>487.4</v>
      </c>
      <c r="C10" s="33">
        <f t="shared" si="0"/>
        <v>26050</v>
      </c>
      <c r="D10" s="33">
        <f>D14+D21</f>
        <v>22203</v>
      </c>
      <c r="E10" s="33">
        <f>E14+E21</f>
        <v>7204</v>
      </c>
      <c r="F10" s="33">
        <f t="shared" si="0"/>
        <v>2420</v>
      </c>
      <c r="G10" s="33">
        <f>G14+G21</f>
        <v>374</v>
      </c>
      <c r="H10" s="33">
        <f t="shared" si="0"/>
        <v>12205</v>
      </c>
      <c r="I10" s="201"/>
      <c r="J10" s="7" t="s">
        <v>19</v>
      </c>
      <c r="K10" s="42">
        <f>K14+K21</f>
        <v>420.90000000000003</v>
      </c>
      <c r="L10" s="33">
        <f>L14+L21</f>
        <v>22458</v>
      </c>
      <c r="M10" s="33">
        <f>M14+M21</f>
        <v>18981</v>
      </c>
      <c r="N10" s="33">
        <f t="shared" si="1"/>
        <v>6090</v>
      </c>
      <c r="O10" s="33">
        <f t="shared" si="1"/>
        <v>2130</v>
      </c>
      <c r="P10" s="33">
        <f t="shared" si="1"/>
        <v>310</v>
      </c>
      <c r="Q10" s="33">
        <f t="shared" si="1"/>
        <v>10451</v>
      </c>
      <c r="R10" s="7" t="s">
        <v>19</v>
      </c>
      <c r="S10" s="33">
        <f>S14+S21</f>
        <v>66.500000000000014</v>
      </c>
      <c r="T10" s="33">
        <f>T14+T21</f>
        <v>3592</v>
      </c>
      <c r="U10" s="33">
        <f t="shared" si="2"/>
        <v>3222</v>
      </c>
      <c r="V10" s="33">
        <f t="shared" si="2"/>
        <v>1114</v>
      </c>
      <c r="W10" s="33">
        <f t="shared" si="2"/>
        <v>290</v>
      </c>
      <c r="X10" s="33">
        <f>X14+X21</f>
        <v>64</v>
      </c>
      <c r="Y10" s="33">
        <f t="shared" si="2"/>
        <v>1754</v>
      </c>
      <c r="Z10" s="110"/>
      <c r="AA10" s="7" t="s">
        <v>19</v>
      </c>
      <c r="AB10" s="42">
        <f>AB14+AB21</f>
        <v>61.1</v>
      </c>
      <c r="AC10" s="33">
        <f t="shared" si="3"/>
        <v>3272</v>
      </c>
      <c r="AD10" s="33">
        <f t="shared" si="3"/>
        <v>2927</v>
      </c>
      <c r="AE10" s="33">
        <f t="shared" si="3"/>
        <v>1104</v>
      </c>
      <c r="AF10" s="33">
        <f t="shared" si="3"/>
        <v>195</v>
      </c>
      <c r="AG10" s="33">
        <f t="shared" si="3"/>
        <v>24</v>
      </c>
      <c r="AH10" s="33">
        <f t="shared" si="3"/>
        <v>1604</v>
      </c>
      <c r="AI10" s="110"/>
      <c r="AJ10" s="7" t="s">
        <v>19</v>
      </c>
      <c r="AK10" s="42">
        <f>AK14+AK21</f>
        <v>0</v>
      </c>
      <c r="AL10" s="33">
        <f>AL14+AL21</f>
        <v>0</v>
      </c>
      <c r="AM10" s="33">
        <f>AM14+AM21</f>
        <v>0</v>
      </c>
      <c r="AN10" s="33">
        <f t="shared" si="4"/>
        <v>0</v>
      </c>
      <c r="AO10" s="33">
        <f t="shared" si="4"/>
        <v>0</v>
      </c>
      <c r="AP10" s="33">
        <f t="shared" si="4"/>
        <v>0</v>
      </c>
      <c r="AQ10" s="33">
        <f t="shared" si="4"/>
        <v>0</v>
      </c>
      <c r="AZ10" s="112"/>
      <c r="BA10" s="111"/>
      <c r="BB10" s="110"/>
      <c r="BC10" s="110"/>
      <c r="BD10" s="110"/>
      <c r="BE10" s="110"/>
      <c r="BF10" s="110"/>
      <c r="BG10" s="110"/>
    </row>
    <row r="11" spans="1:59" s="115" customFormat="1">
      <c r="A11" s="33" t="s">
        <v>20</v>
      </c>
      <c r="B11" s="26">
        <f t="shared" ref="B11:H11" si="5">B10/B9*100</f>
        <v>71.361639824304532</v>
      </c>
      <c r="C11" s="26">
        <f t="shared" si="5"/>
        <v>69.86536501636003</v>
      </c>
      <c r="D11" s="26">
        <f t="shared" si="5"/>
        <v>72.223667946132338</v>
      </c>
      <c r="E11" s="26">
        <f t="shared" si="5"/>
        <v>108.02219223271854</v>
      </c>
      <c r="F11" s="26">
        <f t="shared" si="5"/>
        <v>39.484418339043891</v>
      </c>
      <c r="G11" s="26">
        <f t="shared" si="5"/>
        <v>21.011235955056179</v>
      </c>
      <c r="H11" s="26">
        <f t="shared" si="5"/>
        <v>75.507300173224451</v>
      </c>
      <c r="I11" s="201"/>
      <c r="J11" s="33" t="s">
        <v>20</v>
      </c>
      <c r="K11" s="26">
        <f t="shared" ref="K11:Q11" si="6">K10/K9*100</f>
        <v>110.70489216202</v>
      </c>
      <c r="L11" s="26">
        <f t="shared" si="6"/>
        <v>134.3021169716541</v>
      </c>
      <c r="M11" s="26">
        <f t="shared" si="6"/>
        <v>140.72508896797154</v>
      </c>
      <c r="N11" s="26">
        <f t="shared" si="6"/>
        <v>383.01886792452831</v>
      </c>
      <c r="O11" s="26">
        <f t="shared" si="6"/>
        <v>57.474365893146249</v>
      </c>
      <c r="P11" s="26">
        <f t="shared" si="6"/>
        <v>22.447501810282404</v>
      </c>
      <c r="Q11" s="26">
        <f t="shared" si="6"/>
        <v>153.44295991778006</v>
      </c>
      <c r="R11" s="33" t="s">
        <v>20</v>
      </c>
      <c r="S11" s="26">
        <f t="shared" ref="S11:Y11" si="7">S10/S9*100</f>
        <v>22.352941176470598</v>
      </c>
      <c r="T11" s="26">
        <f t="shared" si="7"/>
        <v>17.74002370604504</v>
      </c>
      <c r="U11" s="26">
        <f t="shared" si="7"/>
        <v>18.96521278474307</v>
      </c>
      <c r="V11" s="26">
        <f t="shared" si="7"/>
        <v>22.191235059760956</v>
      </c>
      <c r="W11" s="26">
        <f t="shared" si="7"/>
        <v>12.340425531914894</v>
      </c>
      <c r="X11" s="26">
        <f t="shared" si="7"/>
        <v>16.284987277353689</v>
      </c>
      <c r="Y11" s="26">
        <f t="shared" si="7"/>
        <v>19.011489269455886</v>
      </c>
      <c r="Z11" s="113"/>
      <c r="AA11" s="33" t="s">
        <v>20</v>
      </c>
      <c r="AB11" s="26">
        <f t="shared" ref="AB11:AH11" si="8">AB10/AB9*100</f>
        <v>23.445894090560248</v>
      </c>
      <c r="AC11" s="26">
        <f t="shared" si="8"/>
        <v>18.289547233091113</v>
      </c>
      <c r="AD11" s="26">
        <f t="shared" si="8"/>
        <v>19.565508021390375</v>
      </c>
      <c r="AE11" s="26">
        <f t="shared" si="8"/>
        <v>22.17758135797509</v>
      </c>
      <c r="AF11" s="26">
        <f t="shared" si="8"/>
        <v>10.887772194304858</v>
      </c>
      <c r="AG11" s="26">
        <f t="shared" si="8"/>
        <v>19.672131147540984</v>
      </c>
      <c r="AH11" s="26">
        <f t="shared" si="8"/>
        <v>19.873621608226983</v>
      </c>
      <c r="AI11" s="113"/>
      <c r="AJ11" s="33" t="s">
        <v>20</v>
      </c>
      <c r="AK11" s="26">
        <f t="shared" ref="AK11:AQ11" si="9">AK10/AK9*100</f>
        <v>0</v>
      </c>
      <c r="AL11" s="26">
        <f t="shared" si="9"/>
        <v>0</v>
      </c>
      <c r="AM11" s="26">
        <f t="shared" si="9"/>
        <v>0</v>
      </c>
      <c r="AN11" s="26">
        <f t="shared" si="9"/>
        <v>0</v>
      </c>
      <c r="AO11" s="26">
        <f t="shared" si="9"/>
        <v>0</v>
      </c>
      <c r="AP11" s="26">
        <f t="shared" si="9"/>
        <v>0</v>
      </c>
      <c r="AQ11" s="26">
        <f t="shared" si="9"/>
        <v>0</v>
      </c>
      <c r="AZ11" s="110"/>
      <c r="BA11" s="113"/>
      <c r="BB11" s="113"/>
      <c r="BC11" s="113"/>
      <c r="BD11" s="113"/>
      <c r="BE11" s="113"/>
      <c r="BF11" s="113"/>
      <c r="BG11" s="113"/>
    </row>
    <row r="12" spans="1:59" s="201" customFormat="1" ht="12.75" customHeight="1">
      <c r="A12" s="461" t="s">
        <v>11</v>
      </c>
      <c r="B12" s="472"/>
      <c r="C12" s="472"/>
      <c r="D12" s="472"/>
      <c r="E12" s="472"/>
      <c r="F12" s="472"/>
      <c r="G12" s="472"/>
      <c r="H12" s="473"/>
      <c r="J12" s="474" t="s">
        <v>11</v>
      </c>
      <c r="K12" s="474"/>
      <c r="L12" s="474"/>
      <c r="M12" s="474"/>
      <c r="N12" s="474"/>
      <c r="O12" s="474"/>
      <c r="P12" s="474"/>
      <c r="Q12" s="474"/>
      <c r="R12" s="387" t="s">
        <v>11</v>
      </c>
      <c r="S12" s="387"/>
      <c r="T12" s="387"/>
      <c r="U12" s="387"/>
      <c r="V12" s="387"/>
      <c r="W12" s="387"/>
      <c r="X12" s="387"/>
      <c r="Y12" s="387"/>
      <c r="Z12" s="296"/>
      <c r="AA12" s="376" t="s">
        <v>11</v>
      </c>
      <c r="AB12" s="377"/>
      <c r="AC12" s="377"/>
      <c r="AD12" s="377"/>
      <c r="AE12" s="377"/>
      <c r="AF12" s="377"/>
      <c r="AG12" s="377"/>
      <c r="AH12" s="378"/>
      <c r="AI12" s="296"/>
      <c r="AJ12" s="461" t="s">
        <v>11</v>
      </c>
      <c r="AK12" s="462"/>
      <c r="AL12" s="462"/>
      <c r="AM12" s="462"/>
      <c r="AN12" s="462"/>
      <c r="AO12" s="462"/>
      <c r="AP12" s="462"/>
      <c r="AQ12" s="463"/>
      <c r="AZ12" s="481"/>
      <c r="BA12" s="481"/>
      <c r="BB12" s="481"/>
      <c r="BC12" s="481"/>
      <c r="BD12" s="481"/>
      <c r="BE12" s="481"/>
      <c r="BF12" s="481"/>
      <c r="BG12" s="481"/>
    </row>
    <row r="13" spans="1:59" s="201" customFormat="1">
      <c r="A13" s="248" t="s">
        <v>18</v>
      </c>
      <c r="B13" s="27">
        <f>K13+S13+AK13</f>
        <v>116.9</v>
      </c>
      <c r="C13" s="6">
        <f>L13+T13+AL13</f>
        <v>7602</v>
      </c>
      <c r="D13" s="6">
        <f>E13+F13+G13+H13</f>
        <v>5836</v>
      </c>
      <c r="E13" s="6">
        <f t="shared" ref="E13:H14" si="10">N13+V13+AN13</f>
        <v>1558</v>
      </c>
      <c r="F13" s="6">
        <f t="shared" si="10"/>
        <v>2131</v>
      </c>
      <c r="G13" s="6">
        <f t="shared" si="10"/>
        <v>685</v>
      </c>
      <c r="H13" s="6">
        <f t="shared" si="10"/>
        <v>1462</v>
      </c>
      <c r="J13" s="248" t="s">
        <v>18</v>
      </c>
      <c r="K13" s="27">
        <v>103.5</v>
      </c>
      <c r="L13" s="6">
        <v>6526</v>
      </c>
      <c r="M13" s="6">
        <v>5010</v>
      </c>
      <c r="N13" s="6">
        <v>1333</v>
      </c>
      <c r="O13" s="6">
        <v>1837</v>
      </c>
      <c r="P13" s="6">
        <v>579</v>
      </c>
      <c r="Q13" s="6">
        <v>1261</v>
      </c>
      <c r="R13" s="248" t="s">
        <v>18</v>
      </c>
      <c r="S13" s="6">
        <v>13.4</v>
      </c>
      <c r="T13" s="6">
        <v>1076</v>
      </c>
      <c r="U13" s="6">
        <v>826</v>
      </c>
      <c r="V13" s="6">
        <v>225</v>
      </c>
      <c r="W13" s="6">
        <v>294</v>
      </c>
      <c r="X13" s="6">
        <v>106</v>
      </c>
      <c r="Y13" s="6">
        <v>201</v>
      </c>
      <c r="Z13" s="1"/>
      <c r="AA13" s="248" t="s">
        <v>18</v>
      </c>
      <c r="AB13" s="6">
        <v>13.4</v>
      </c>
      <c r="AC13" s="6">
        <v>1076</v>
      </c>
      <c r="AD13" s="6">
        <v>826</v>
      </c>
      <c r="AE13" s="6">
        <v>225</v>
      </c>
      <c r="AF13" s="6">
        <v>294</v>
      </c>
      <c r="AG13" s="6">
        <v>106</v>
      </c>
      <c r="AH13" s="6">
        <v>201</v>
      </c>
      <c r="AI13" s="381"/>
      <c r="AJ13" s="382" t="s">
        <v>18</v>
      </c>
      <c r="AK13" s="27">
        <v>0</v>
      </c>
      <c r="AL13" s="6">
        <v>0</v>
      </c>
      <c r="AM13" s="6">
        <f>AN13+AO13+AP13+AQ13</f>
        <v>0</v>
      </c>
      <c r="AN13" s="6"/>
      <c r="AO13" s="6"/>
      <c r="AP13" s="6"/>
      <c r="AQ13" s="6"/>
      <c r="AZ13" s="14"/>
      <c r="BA13" s="114"/>
      <c r="BB13" s="1"/>
      <c r="BC13" s="1"/>
      <c r="BD13" s="1"/>
      <c r="BE13" s="1"/>
      <c r="BF13" s="1"/>
      <c r="BG13" s="1"/>
    </row>
    <row r="14" spans="1:59" s="201" customFormat="1">
      <c r="A14" s="18" t="s">
        <v>19</v>
      </c>
      <c r="B14" s="27">
        <f>K14+S14+AK14</f>
        <v>148.4</v>
      </c>
      <c r="C14" s="6">
        <f>L14+T14+AL14</f>
        <v>11059</v>
      </c>
      <c r="D14" s="6">
        <f>E14+F14+G14+H14</f>
        <v>9028</v>
      </c>
      <c r="E14" s="6">
        <f t="shared" si="10"/>
        <v>4954</v>
      </c>
      <c r="F14" s="6">
        <f t="shared" si="10"/>
        <v>1330</v>
      </c>
      <c r="G14" s="6">
        <f t="shared" si="10"/>
        <v>64</v>
      </c>
      <c r="H14" s="6">
        <f t="shared" si="10"/>
        <v>2680</v>
      </c>
      <c r="J14" s="18" t="s">
        <v>19</v>
      </c>
      <c r="K14" s="6">
        <v>147</v>
      </c>
      <c r="L14" s="6">
        <v>10969</v>
      </c>
      <c r="M14" s="6">
        <f>N14+O14+P14+Q14</f>
        <v>8938</v>
      </c>
      <c r="N14" s="6">
        <v>4944</v>
      </c>
      <c r="O14" s="6">
        <v>1290</v>
      </c>
      <c r="P14" s="6">
        <v>59</v>
      </c>
      <c r="Q14" s="6">
        <v>2645</v>
      </c>
      <c r="R14" s="18" t="s">
        <v>19</v>
      </c>
      <c r="S14" s="27">
        <v>1.4</v>
      </c>
      <c r="T14" s="6">
        <v>90</v>
      </c>
      <c r="U14" s="6">
        <f>V14+W14+X14+Y14</f>
        <v>90</v>
      </c>
      <c r="V14" s="6">
        <v>10</v>
      </c>
      <c r="W14" s="6">
        <v>40</v>
      </c>
      <c r="X14" s="6">
        <v>5</v>
      </c>
      <c r="Y14" s="6">
        <v>35</v>
      </c>
      <c r="Z14" s="1"/>
      <c r="AA14" s="18" t="s">
        <v>19</v>
      </c>
      <c r="AB14" s="27"/>
      <c r="AC14" s="6"/>
      <c r="AD14" s="6">
        <f>AE14+AF14+AG14+AH14</f>
        <v>0</v>
      </c>
      <c r="AE14" s="6"/>
      <c r="AF14" s="6"/>
      <c r="AG14" s="6"/>
      <c r="AH14" s="6"/>
      <c r="AI14" s="1"/>
      <c r="AJ14" s="18" t="s">
        <v>19</v>
      </c>
      <c r="AK14" s="6"/>
      <c r="AL14" s="6"/>
      <c r="AM14" s="6">
        <f>AN14+AO14+AP14+AQ14</f>
        <v>0</v>
      </c>
      <c r="AN14" s="6"/>
      <c r="AO14" s="6"/>
      <c r="AP14" s="6"/>
      <c r="AQ14" s="6"/>
      <c r="AZ14" s="20"/>
      <c r="BA14" s="1"/>
      <c r="BB14" s="1"/>
      <c r="BC14" s="1"/>
      <c r="BD14" s="1"/>
      <c r="BE14" s="1"/>
      <c r="BF14" s="1"/>
      <c r="BG14" s="1"/>
    </row>
    <row r="15" spans="1:59" s="201" customFormat="1">
      <c r="A15" s="248" t="s">
        <v>20</v>
      </c>
      <c r="B15" s="26">
        <f t="shared" ref="B15:H15" si="11">B14/B13*100</f>
        <v>126.94610778443113</v>
      </c>
      <c r="C15" s="26">
        <f t="shared" si="11"/>
        <v>145.47487503288608</v>
      </c>
      <c r="D15" s="26">
        <f>D14/D13*100</f>
        <v>154.69499657299519</v>
      </c>
      <c r="E15" s="26">
        <f t="shared" si="11"/>
        <v>317.97175866495508</v>
      </c>
      <c r="F15" s="26">
        <f t="shared" si="11"/>
        <v>62.41201313937119</v>
      </c>
      <c r="G15" s="26">
        <f t="shared" si="11"/>
        <v>9.3430656934306562</v>
      </c>
      <c r="H15" s="26">
        <f t="shared" si="11"/>
        <v>183.31053351573189</v>
      </c>
      <c r="J15" s="248" t="s">
        <v>20</v>
      </c>
      <c r="K15" s="26">
        <f t="shared" ref="K15:Q15" si="12">K14/K13*100</f>
        <v>142.02898550724638</v>
      </c>
      <c r="L15" s="26">
        <f t="shared" si="12"/>
        <v>168.08152007355196</v>
      </c>
      <c r="M15" s="26">
        <f t="shared" si="12"/>
        <v>178.40319361277446</v>
      </c>
      <c r="N15" s="26">
        <f t="shared" si="12"/>
        <v>370.8927231807952</v>
      </c>
      <c r="O15" s="26">
        <f t="shared" si="12"/>
        <v>70.223189983669016</v>
      </c>
      <c r="P15" s="26">
        <f t="shared" si="12"/>
        <v>10.189982728842832</v>
      </c>
      <c r="Q15" s="26">
        <f t="shared" si="12"/>
        <v>209.75416336241079</v>
      </c>
      <c r="R15" s="248" t="s">
        <v>20</v>
      </c>
      <c r="S15" s="26">
        <f t="shared" ref="S15:Y15" si="13">S14/S13*100</f>
        <v>10.44776119402985</v>
      </c>
      <c r="T15" s="26">
        <f t="shared" si="13"/>
        <v>8.3643122676579935</v>
      </c>
      <c r="U15" s="26">
        <f t="shared" si="13"/>
        <v>10.895883777239709</v>
      </c>
      <c r="V15" s="26">
        <f t="shared" si="13"/>
        <v>4.4444444444444446</v>
      </c>
      <c r="W15" s="26">
        <f t="shared" si="13"/>
        <v>13.605442176870749</v>
      </c>
      <c r="X15" s="26">
        <f t="shared" si="13"/>
        <v>4.716981132075472</v>
      </c>
      <c r="Y15" s="26">
        <f t="shared" si="13"/>
        <v>17.412935323383085</v>
      </c>
      <c r="Z15" s="113"/>
      <c r="AA15" s="248" t="s">
        <v>20</v>
      </c>
      <c r="AB15" s="26">
        <f t="shared" ref="AB15:AH15" si="14">AB14/AB13*100</f>
        <v>0</v>
      </c>
      <c r="AC15" s="26">
        <f t="shared" si="14"/>
        <v>0</v>
      </c>
      <c r="AD15" s="26">
        <f t="shared" si="14"/>
        <v>0</v>
      </c>
      <c r="AE15" s="26">
        <f t="shared" si="14"/>
        <v>0</v>
      </c>
      <c r="AF15" s="26">
        <f t="shared" si="14"/>
        <v>0</v>
      </c>
      <c r="AG15" s="26">
        <f t="shared" si="14"/>
        <v>0</v>
      </c>
      <c r="AH15" s="26">
        <f t="shared" si="14"/>
        <v>0</v>
      </c>
      <c r="AI15" s="113"/>
      <c r="AJ15" s="248" t="s">
        <v>20</v>
      </c>
      <c r="AK15" s="26" t="e">
        <f>AK14/AK13*100</f>
        <v>#DIV/0!</v>
      </c>
      <c r="AL15" s="26" t="e">
        <f>AL14/AL13*100</f>
        <v>#DIV/0!</v>
      </c>
      <c r="AM15" s="26" t="e">
        <f>AM14/AM13*100</f>
        <v>#DIV/0!</v>
      </c>
      <c r="AN15" s="26"/>
      <c r="AO15" s="26"/>
      <c r="AP15" s="26"/>
      <c r="AQ15" s="26"/>
      <c r="AZ15" s="14"/>
      <c r="BA15" s="113"/>
      <c r="BB15" s="113"/>
      <c r="BC15" s="113"/>
      <c r="BD15" s="113"/>
      <c r="BE15" s="113"/>
      <c r="BF15" s="113"/>
      <c r="BG15" s="113"/>
    </row>
    <row r="16" spans="1:59" s="201" customFormat="1">
      <c r="A16" s="6" t="s">
        <v>13</v>
      </c>
      <c r="B16" s="27">
        <f t="shared" ref="B16:C18" si="15">K16+S16+AK16</f>
        <v>80.2</v>
      </c>
      <c r="C16" s="6">
        <f t="shared" si="15"/>
        <v>6886</v>
      </c>
      <c r="D16" s="6">
        <f>E16+F16+G16+H16</f>
        <v>5635</v>
      </c>
      <c r="E16" s="6">
        <f t="shared" ref="E16:H18" si="16">N16+V16+AN16</f>
        <v>3308</v>
      </c>
      <c r="F16" s="6">
        <f t="shared" si="16"/>
        <v>848</v>
      </c>
      <c r="G16" s="6">
        <f t="shared" si="16"/>
        <v>55</v>
      </c>
      <c r="H16" s="6">
        <f t="shared" si="16"/>
        <v>1424</v>
      </c>
      <c r="J16" s="6" t="s">
        <v>13</v>
      </c>
      <c r="K16" s="27">
        <v>80.2</v>
      </c>
      <c r="L16" s="6">
        <v>6886</v>
      </c>
      <c r="M16" s="6">
        <f>N16+O16+P16+Q16</f>
        <v>5635</v>
      </c>
      <c r="N16" s="6">
        <v>3308</v>
      </c>
      <c r="O16" s="6">
        <v>848</v>
      </c>
      <c r="P16" s="6">
        <v>55</v>
      </c>
      <c r="Q16" s="6">
        <v>1424</v>
      </c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Z16" s="1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"/>
      <c r="AJ16" s="6" t="s">
        <v>13</v>
      </c>
      <c r="AK16" s="27"/>
      <c r="AL16" s="6"/>
      <c r="AM16" s="6">
        <f>AN16+AO16+AP16+AQ16</f>
        <v>0</v>
      </c>
      <c r="AN16" s="6"/>
      <c r="AO16" s="6"/>
      <c r="AP16" s="6"/>
      <c r="AQ16" s="6"/>
      <c r="AZ16" s="1"/>
      <c r="BA16" s="114"/>
      <c r="BB16" s="1"/>
      <c r="BC16" s="1"/>
      <c r="BD16" s="1"/>
      <c r="BE16" s="1"/>
      <c r="BF16" s="1"/>
      <c r="BG16" s="1"/>
    </row>
    <row r="17" spans="1:59" s="201" customFormat="1">
      <c r="A17" s="6" t="s">
        <v>14</v>
      </c>
      <c r="B17" s="6">
        <f t="shared" si="15"/>
        <v>0</v>
      </c>
      <c r="C17" s="6">
        <f t="shared" si="15"/>
        <v>0</v>
      </c>
      <c r="D17" s="6">
        <f>E17+F17+G17+H17</f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  <c r="AZ17" s="1"/>
      <c r="BA17" s="1"/>
      <c r="BB17" s="1"/>
      <c r="BC17" s="1"/>
      <c r="BD17" s="1"/>
      <c r="BE17" s="1"/>
      <c r="BF17" s="1"/>
      <c r="BG17" s="1"/>
    </row>
    <row r="18" spans="1:59">
      <c r="A18" s="6" t="s">
        <v>15</v>
      </c>
      <c r="B18" s="6">
        <f t="shared" si="15"/>
        <v>3.1</v>
      </c>
      <c r="C18" s="6">
        <f t="shared" si="15"/>
        <v>268</v>
      </c>
      <c r="D18" s="6">
        <f>E18+F18+G18+H18</f>
        <v>219</v>
      </c>
      <c r="E18" s="6">
        <f t="shared" si="16"/>
        <v>178</v>
      </c>
      <c r="F18" s="6">
        <f t="shared" si="16"/>
        <v>13</v>
      </c>
      <c r="G18" s="6">
        <f t="shared" si="16"/>
        <v>0</v>
      </c>
      <c r="H18" s="6">
        <f t="shared" si="16"/>
        <v>28</v>
      </c>
      <c r="I18" s="201"/>
      <c r="J18" s="6" t="s">
        <v>15</v>
      </c>
      <c r="K18" s="27">
        <v>3.1</v>
      </c>
      <c r="L18" s="6">
        <v>268</v>
      </c>
      <c r="M18" s="6">
        <f>N18+O18+P18+Q18</f>
        <v>219</v>
      </c>
      <c r="N18" s="6">
        <v>178</v>
      </c>
      <c r="O18" s="6">
        <v>13</v>
      </c>
      <c r="P18" s="6"/>
      <c r="Q18" s="6">
        <v>28</v>
      </c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  <c r="AZ18" s="1"/>
      <c r="BA18" s="1"/>
      <c r="BB18" s="1"/>
      <c r="BC18" s="1"/>
      <c r="BD18" s="1"/>
      <c r="BE18" s="1"/>
      <c r="BF18" s="1"/>
      <c r="BG18" s="1"/>
    </row>
    <row r="19" spans="1:59" ht="12.75" customHeight="1">
      <c r="A19" s="461" t="s">
        <v>16</v>
      </c>
      <c r="B19" s="472"/>
      <c r="C19" s="472"/>
      <c r="D19" s="472"/>
      <c r="E19" s="472"/>
      <c r="F19" s="472"/>
      <c r="G19" s="472"/>
      <c r="H19" s="473"/>
      <c r="I19" s="201"/>
      <c r="J19" s="474" t="s">
        <v>16</v>
      </c>
      <c r="K19" s="474"/>
      <c r="L19" s="474"/>
      <c r="M19" s="474"/>
      <c r="N19" s="474"/>
      <c r="O19" s="474"/>
      <c r="P19" s="474"/>
      <c r="Q19" s="474"/>
      <c r="R19" s="474" t="s">
        <v>16</v>
      </c>
      <c r="S19" s="474"/>
      <c r="T19" s="474"/>
      <c r="U19" s="474"/>
      <c r="V19" s="474"/>
      <c r="W19" s="474"/>
      <c r="X19" s="474"/>
      <c r="Y19" s="474"/>
      <c r="Z19" s="296"/>
      <c r="AA19" s="376" t="s">
        <v>16</v>
      </c>
      <c r="AB19" s="377"/>
      <c r="AC19" s="377"/>
      <c r="AD19" s="377"/>
      <c r="AE19" s="377"/>
      <c r="AF19" s="377"/>
      <c r="AG19" s="377"/>
      <c r="AH19" s="378"/>
      <c r="AI19" s="296"/>
      <c r="AJ19" s="461" t="s">
        <v>16</v>
      </c>
      <c r="AK19" s="462"/>
      <c r="AL19" s="462"/>
      <c r="AM19" s="462"/>
      <c r="AN19" s="462"/>
      <c r="AO19" s="462"/>
      <c r="AP19" s="462"/>
      <c r="AQ19" s="463"/>
      <c r="AZ19" s="481"/>
      <c r="BA19" s="481"/>
      <c r="BB19" s="481"/>
      <c r="BC19" s="481"/>
      <c r="BD19" s="481"/>
      <c r="BE19" s="481"/>
      <c r="BF19" s="481"/>
      <c r="BG19" s="481"/>
    </row>
    <row r="20" spans="1:59">
      <c r="A20" s="248" t="s">
        <v>18</v>
      </c>
      <c r="B20" s="27">
        <f>B23+B26+B29+B32+B35+B38</f>
        <v>566.1</v>
      </c>
      <c r="C20" s="6">
        <f t="shared" ref="C20:H21" si="17">C23+C26+C29+C32+C35+C38</f>
        <v>29684</v>
      </c>
      <c r="D20" s="6">
        <f t="shared" si="17"/>
        <v>24906</v>
      </c>
      <c r="E20" s="6">
        <f t="shared" si="17"/>
        <v>5111</v>
      </c>
      <c r="F20" s="6">
        <f t="shared" si="17"/>
        <v>3998</v>
      </c>
      <c r="G20" s="6">
        <f t="shared" si="17"/>
        <v>1095</v>
      </c>
      <c r="H20" s="6">
        <f t="shared" si="17"/>
        <v>14702</v>
      </c>
      <c r="I20" s="201"/>
      <c r="J20" s="248" t="s">
        <v>18</v>
      </c>
      <c r="K20" s="27">
        <f>K23+K26+K29+K32+K35+K38</f>
        <v>276.7</v>
      </c>
      <c r="L20" s="6">
        <f t="shared" ref="L20:Q21" si="18">L23+L26+L29+L32+L35+L38</f>
        <v>10196</v>
      </c>
      <c r="M20" s="6">
        <f t="shared" si="18"/>
        <v>8478</v>
      </c>
      <c r="N20" s="6">
        <f t="shared" si="18"/>
        <v>257</v>
      </c>
      <c r="O20" s="6">
        <f t="shared" si="18"/>
        <v>1869</v>
      </c>
      <c r="P20" s="6">
        <f t="shared" si="18"/>
        <v>802</v>
      </c>
      <c r="Q20" s="6">
        <f t="shared" si="18"/>
        <v>5550</v>
      </c>
      <c r="R20" s="248" t="s">
        <v>18</v>
      </c>
      <c r="S20" s="27">
        <f>S23+S26+S29+S32+S35+S38</f>
        <v>284.09999999999997</v>
      </c>
      <c r="T20" s="6">
        <f t="shared" ref="T20:Y21" si="19">T23+T26+T29+T32+T35+T38</f>
        <v>19172</v>
      </c>
      <c r="U20" s="6">
        <f t="shared" si="19"/>
        <v>16163</v>
      </c>
      <c r="V20" s="6">
        <f t="shared" si="19"/>
        <v>4795</v>
      </c>
      <c r="W20" s="6">
        <f t="shared" si="19"/>
        <v>2056</v>
      </c>
      <c r="X20" s="6">
        <f t="shared" si="19"/>
        <v>287</v>
      </c>
      <c r="Y20" s="6">
        <f t="shared" si="19"/>
        <v>9025</v>
      </c>
      <c r="Z20" s="1"/>
      <c r="AA20" s="248" t="s">
        <v>18</v>
      </c>
      <c r="AB20" s="27">
        <f>AB23+AB26+AB29+AB32+AB35+AB38</f>
        <v>247.2</v>
      </c>
      <c r="AC20" s="6">
        <f t="shared" ref="AC20:AH21" si="20">AC23+AC26+AC29+AC32+AC35+AC38</f>
        <v>16814</v>
      </c>
      <c r="AD20" s="6">
        <f t="shared" si="20"/>
        <v>14134</v>
      </c>
      <c r="AE20" s="6">
        <f t="shared" si="20"/>
        <v>4753</v>
      </c>
      <c r="AF20" s="6">
        <f t="shared" si="20"/>
        <v>1497</v>
      </c>
      <c r="AG20" s="6">
        <f t="shared" si="20"/>
        <v>16</v>
      </c>
      <c r="AH20" s="6">
        <f t="shared" si="20"/>
        <v>7870</v>
      </c>
      <c r="AI20" s="1"/>
      <c r="AJ20" s="248" t="s">
        <v>18</v>
      </c>
      <c r="AK20" s="27">
        <f>AK23+AK26+AK29+AK32+AK35+AK38</f>
        <v>5.3</v>
      </c>
      <c r="AL20" s="6">
        <f t="shared" ref="AL20:AQ21" si="21">AL23+AL26+AL29+AL32+AL35+AL38</f>
        <v>316</v>
      </c>
      <c r="AM20" s="6">
        <f t="shared" si="21"/>
        <v>265</v>
      </c>
      <c r="AN20" s="6">
        <f t="shared" si="21"/>
        <v>59</v>
      </c>
      <c r="AO20" s="6">
        <f t="shared" si="21"/>
        <v>73</v>
      </c>
      <c r="AP20" s="6">
        <f t="shared" si="21"/>
        <v>6</v>
      </c>
      <c r="AQ20" s="6">
        <f t="shared" si="21"/>
        <v>127</v>
      </c>
      <c r="AZ20" s="14"/>
      <c r="BA20" s="114"/>
      <c r="BB20" s="1"/>
      <c r="BC20" s="1"/>
      <c r="BD20" s="1"/>
      <c r="BE20" s="1"/>
      <c r="BF20" s="1"/>
      <c r="BG20" s="1"/>
    </row>
    <row r="21" spans="1:59" s="201" customFormat="1">
      <c r="A21" s="18" t="s">
        <v>19</v>
      </c>
      <c r="B21" s="27">
        <f>B24+B27+B30+B33+B36+B39</f>
        <v>339</v>
      </c>
      <c r="C21" s="6">
        <f t="shared" si="17"/>
        <v>14991</v>
      </c>
      <c r="D21" s="6">
        <f t="shared" si="17"/>
        <v>13175</v>
      </c>
      <c r="E21" s="6">
        <f>E24+E27+E30+E33+E36+E39</f>
        <v>2250</v>
      </c>
      <c r="F21" s="6">
        <f t="shared" si="17"/>
        <v>1090</v>
      </c>
      <c r="G21" s="6">
        <f>G24+G27+G30+G33+G36+G39</f>
        <v>310</v>
      </c>
      <c r="H21" s="6">
        <f t="shared" si="17"/>
        <v>9525</v>
      </c>
      <c r="J21" s="18" t="s">
        <v>19</v>
      </c>
      <c r="K21" s="27">
        <f>K24+K27+K30+K33+K36+K39</f>
        <v>273.90000000000003</v>
      </c>
      <c r="L21" s="6">
        <f t="shared" si="18"/>
        <v>11489</v>
      </c>
      <c r="M21" s="6">
        <f t="shared" si="18"/>
        <v>10043</v>
      </c>
      <c r="N21" s="6">
        <f>N24+N27+N30+N33+N36+N39</f>
        <v>1146</v>
      </c>
      <c r="O21" s="6">
        <f t="shared" si="18"/>
        <v>840</v>
      </c>
      <c r="P21" s="6">
        <f>P24+P27+P30+P33+P36+P39</f>
        <v>251</v>
      </c>
      <c r="Q21" s="6">
        <f t="shared" si="18"/>
        <v>7806</v>
      </c>
      <c r="R21" s="18" t="s">
        <v>19</v>
      </c>
      <c r="S21" s="27">
        <f>S24+S27+S30+S33+S36+S39</f>
        <v>65.100000000000009</v>
      </c>
      <c r="T21" s="6">
        <f t="shared" si="19"/>
        <v>3502</v>
      </c>
      <c r="U21" s="6">
        <f t="shared" si="19"/>
        <v>3132</v>
      </c>
      <c r="V21" s="6">
        <f>V24+V27+V30+V33+V36+V39</f>
        <v>1104</v>
      </c>
      <c r="W21" s="6">
        <f t="shared" si="19"/>
        <v>250</v>
      </c>
      <c r="X21" s="6">
        <f>X24+X27+X30+X33+X36+X39</f>
        <v>59</v>
      </c>
      <c r="Y21" s="6">
        <f t="shared" si="19"/>
        <v>1719</v>
      </c>
      <c r="Z21" s="1"/>
      <c r="AA21" s="18" t="s">
        <v>19</v>
      </c>
      <c r="AB21" s="27">
        <f>AB24+AB27+AB30+AB33+AB36+AB39</f>
        <v>61.1</v>
      </c>
      <c r="AC21" s="6">
        <f t="shared" si="20"/>
        <v>3272</v>
      </c>
      <c r="AD21" s="6">
        <f t="shared" si="20"/>
        <v>2927</v>
      </c>
      <c r="AE21" s="6">
        <f>AE24+AE27+AE30+AE33+AE36+AE39</f>
        <v>1104</v>
      </c>
      <c r="AF21" s="6">
        <f t="shared" si="20"/>
        <v>195</v>
      </c>
      <c r="AG21" s="6">
        <f>AG24+AG27+AG30+AG33+AG36+AG39</f>
        <v>24</v>
      </c>
      <c r="AH21" s="6">
        <f t="shared" si="20"/>
        <v>1604</v>
      </c>
      <c r="AI21" s="1"/>
      <c r="AJ21" s="18" t="s">
        <v>19</v>
      </c>
      <c r="AK21" s="27"/>
      <c r="AL21" s="6"/>
      <c r="AM21" s="6">
        <f t="shared" si="21"/>
        <v>0</v>
      </c>
      <c r="AN21" s="6"/>
      <c r="AO21" s="6"/>
      <c r="AP21" s="6"/>
      <c r="AQ21" s="6"/>
      <c r="AZ21" s="20"/>
      <c r="BA21" s="114"/>
      <c r="BB21" s="1"/>
      <c r="BC21" s="1"/>
      <c r="BD21" s="1"/>
      <c r="BE21" s="1"/>
      <c r="BF21" s="1"/>
      <c r="BG21" s="1"/>
    </row>
    <row r="22" spans="1:59">
      <c r="A22" s="248" t="s">
        <v>20</v>
      </c>
      <c r="B22" s="26">
        <f t="shared" ref="B22:H22" si="22">B21/B20*100</f>
        <v>59.883412824589286</v>
      </c>
      <c r="C22" s="26">
        <f t="shared" si="22"/>
        <v>50.501953914566769</v>
      </c>
      <c r="D22" s="26">
        <f t="shared" si="22"/>
        <v>52.898899863486712</v>
      </c>
      <c r="E22" s="26">
        <f t="shared" si="22"/>
        <v>44.022696145568382</v>
      </c>
      <c r="F22" s="26">
        <f t="shared" si="22"/>
        <v>27.263631815907953</v>
      </c>
      <c r="G22" s="26">
        <f t="shared" si="22"/>
        <v>28.31050228310502</v>
      </c>
      <c r="H22" s="26">
        <f t="shared" si="22"/>
        <v>64.78710379540199</v>
      </c>
      <c r="I22" s="201"/>
      <c r="J22" s="248" t="s">
        <v>20</v>
      </c>
      <c r="K22" s="26">
        <f t="shared" ref="K22:Q22" si="23">K21/K20*100</f>
        <v>98.98807372605711</v>
      </c>
      <c r="L22" s="26">
        <f t="shared" si="23"/>
        <v>112.68144370341311</v>
      </c>
      <c r="M22" s="26">
        <f t="shared" si="23"/>
        <v>118.45954234489267</v>
      </c>
      <c r="N22" s="26">
        <f t="shared" si="23"/>
        <v>445.91439688715957</v>
      </c>
      <c r="O22" s="26">
        <f t="shared" si="23"/>
        <v>44.943820224719097</v>
      </c>
      <c r="P22" s="26">
        <f t="shared" si="23"/>
        <v>31.296758104738153</v>
      </c>
      <c r="Q22" s="26">
        <f t="shared" si="23"/>
        <v>140.64864864864865</v>
      </c>
      <c r="R22" s="248" t="s">
        <v>20</v>
      </c>
      <c r="S22" s="26">
        <f t="shared" ref="S22:Y22" si="24">S21/S20*100</f>
        <v>22.914466737064419</v>
      </c>
      <c r="T22" s="26">
        <f t="shared" si="24"/>
        <v>18.266221573127478</v>
      </c>
      <c r="U22" s="26">
        <f t="shared" si="24"/>
        <v>19.377590793788283</v>
      </c>
      <c r="V22" s="26">
        <f t="shared" si="24"/>
        <v>23.023983315954119</v>
      </c>
      <c r="W22" s="26">
        <f t="shared" si="24"/>
        <v>12.159533073929961</v>
      </c>
      <c r="X22" s="26">
        <f t="shared" si="24"/>
        <v>20.557491289198605</v>
      </c>
      <c r="Y22" s="26">
        <f t="shared" si="24"/>
        <v>19.047091412742382</v>
      </c>
      <c r="Z22" s="113"/>
      <c r="AA22" s="248" t="s">
        <v>20</v>
      </c>
      <c r="AB22" s="26">
        <f t="shared" ref="AB22:AH22" si="25">AB21/AB20*100</f>
        <v>24.716828478964402</v>
      </c>
      <c r="AC22" s="26">
        <f t="shared" si="25"/>
        <v>19.459973831331034</v>
      </c>
      <c r="AD22" s="26">
        <f t="shared" si="25"/>
        <v>20.708928824112068</v>
      </c>
      <c r="AE22" s="26">
        <f t="shared" si="25"/>
        <v>23.227435304018513</v>
      </c>
      <c r="AF22" s="26">
        <f t="shared" si="25"/>
        <v>13.026052104208416</v>
      </c>
      <c r="AG22" s="26">
        <f t="shared" si="25"/>
        <v>150</v>
      </c>
      <c r="AH22" s="26">
        <f t="shared" si="25"/>
        <v>20.381194409148666</v>
      </c>
      <c r="AI22" s="113"/>
      <c r="AJ22" s="248" t="s">
        <v>20</v>
      </c>
      <c r="AK22" s="26">
        <f>AK21/AK20*100</f>
        <v>0</v>
      </c>
      <c r="AL22" s="26">
        <f>AL21/AL20*100</f>
        <v>0</v>
      </c>
      <c r="AM22" s="26">
        <f>AM21/AM20*100</f>
        <v>0</v>
      </c>
      <c r="AN22" s="26">
        <v>0</v>
      </c>
      <c r="AO22" s="26">
        <f>AO21/AO20*100</f>
        <v>0</v>
      </c>
      <c r="AP22" s="26">
        <f>AP21/AP20*100</f>
        <v>0</v>
      </c>
      <c r="AQ22" s="26">
        <f>AQ21/AQ20*100</f>
        <v>0</v>
      </c>
      <c r="AZ22" s="14"/>
      <c r="BA22" s="113"/>
      <c r="BB22" s="113"/>
      <c r="BC22" s="113"/>
      <c r="BD22" s="113"/>
      <c r="BE22" s="113"/>
      <c r="BF22" s="113"/>
      <c r="BG22" s="113"/>
    </row>
    <row r="23" spans="1:59">
      <c r="A23" s="6" t="s">
        <v>21</v>
      </c>
      <c r="B23" s="27">
        <f>K23+S23+AK23</f>
        <v>352.3</v>
      </c>
      <c r="C23" s="6">
        <f>L23+T23+AL23</f>
        <v>22066</v>
      </c>
      <c r="D23" s="6">
        <f>E23+F23+G23+H23</f>
        <v>18462</v>
      </c>
      <c r="E23" s="6">
        <f t="shared" ref="E23:H24" si="26">N23+V23+AN23</f>
        <v>4973</v>
      </c>
      <c r="F23" s="6">
        <f t="shared" si="26"/>
        <v>2371</v>
      </c>
      <c r="G23" s="6">
        <f t="shared" si="26"/>
        <v>346</v>
      </c>
      <c r="H23" s="6">
        <f t="shared" si="26"/>
        <v>10772</v>
      </c>
      <c r="I23" s="201"/>
      <c r="J23" s="6" t="s">
        <v>21</v>
      </c>
      <c r="K23" s="27">
        <v>133.30000000000001</v>
      </c>
      <c r="L23" s="6">
        <v>6031</v>
      </c>
      <c r="M23" s="6">
        <v>5002</v>
      </c>
      <c r="N23" s="6">
        <v>238</v>
      </c>
      <c r="O23" s="6">
        <v>1105</v>
      </c>
      <c r="P23" s="6">
        <v>332</v>
      </c>
      <c r="Q23" s="6">
        <v>3327</v>
      </c>
      <c r="R23" s="6" t="s">
        <v>21</v>
      </c>
      <c r="S23" s="27">
        <v>216</v>
      </c>
      <c r="T23" s="6">
        <v>15791</v>
      </c>
      <c r="U23" s="6">
        <v>13256</v>
      </c>
      <c r="V23" s="6">
        <v>4679</v>
      </c>
      <c r="W23" s="6">
        <v>1212</v>
      </c>
      <c r="X23" s="6">
        <v>9</v>
      </c>
      <c r="Y23" s="6">
        <v>7356</v>
      </c>
      <c r="Z23" s="1"/>
      <c r="AA23" s="6" t="s">
        <v>21</v>
      </c>
      <c r="AB23" s="27">
        <v>210.9</v>
      </c>
      <c r="AC23" s="6">
        <v>15508</v>
      </c>
      <c r="AD23" s="6">
        <v>13023</v>
      </c>
      <c r="AE23" s="6">
        <v>4655</v>
      </c>
      <c r="AF23" s="6">
        <v>1148</v>
      </c>
      <c r="AG23" s="6">
        <v>0</v>
      </c>
      <c r="AH23" s="6">
        <v>7220</v>
      </c>
      <c r="AI23" s="1"/>
      <c r="AJ23" s="6" t="s">
        <v>21</v>
      </c>
      <c r="AK23" s="27">
        <v>3</v>
      </c>
      <c r="AL23" s="6">
        <v>244</v>
      </c>
      <c r="AM23" s="6">
        <v>204</v>
      </c>
      <c r="AN23" s="6">
        <v>56</v>
      </c>
      <c r="AO23" s="6">
        <v>54</v>
      </c>
      <c r="AP23" s="6">
        <v>5</v>
      </c>
      <c r="AQ23" s="6">
        <v>89</v>
      </c>
      <c r="AZ23" s="1"/>
      <c r="BA23" s="114"/>
      <c r="BB23" s="1"/>
      <c r="BC23" s="1"/>
      <c r="BD23" s="1"/>
      <c r="BE23" s="1"/>
      <c r="BF23" s="1"/>
      <c r="BG23" s="1"/>
    </row>
    <row r="24" spans="1:59">
      <c r="A24" s="6" t="s">
        <v>22</v>
      </c>
      <c r="B24" s="27">
        <f>K24+S24+AK24</f>
        <v>211.8</v>
      </c>
      <c r="C24" s="6">
        <f>L24+T24+AL24</f>
        <v>9177</v>
      </c>
      <c r="D24" s="6">
        <f>E24+F24+G24+H24</f>
        <v>8184</v>
      </c>
      <c r="E24" s="6">
        <f t="shared" si="26"/>
        <v>1405</v>
      </c>
      <c r="F24" s="6">
        <f t="shared" si="26"/>
        <v>673</v>
      </c>
      <c r="G24" s="6">
        <f t="shared" si="26"/>
        <v>87</v>
      </c>
      <c r="H24" s="6">
        <f t="shared" si="26"/>
        <v>6019</v>
      </c>
      <c r="I24" s="201"/>
      <c r="J24" s="6" t="s">
        <v>22</v>
      </c>
      <c r="K24" s="6">
        <v>158.6</v>
      </c>
      <c r="L24" s="6">
        <v>6167</v>
      </c>
      <c r="M24" s="6">
        <f>N24+O24+P24+Q24</f>
        <v>5484</v>
      </c>
      <c r="N24" s="6">
        <v>311</v>
      </c>
      <c r="O24" s="6">
        <v>548</v>
      </c>
      <c r="P24" s="6">
        <v>69</v>
      </c>
      <c r="Q24" s="6">
        <v>4556</v>
      </c>
      <c r="R24" s="6" t="s">
        <v>22</v>
      </c>
      <c r="S24" s="27">
        <v>53.2</v>
      </c>
      <c r="T24" s="6">
        <v>3010</v>
      </c>
      <c r="U24" s="6">
        <f>V24+W24+X24+Y24</f>
        <v>2700</v>
      </c>
      <c r="V24" s="6">
        <v>1094</v>
      </c>
      <c r="W24" s="6">
        <v>125</v>
      </c>
      <c r="X24" s="6">
        <v>18</v>
      </c>
      <c r="Y24" s="6">
        <v>1463</v>
      </c>
      <c r="Z24" s="1"/>
      <c r="AA24" s="6" t="s">
        <v>22</v>
      </c>
      <c r="AB24" s="27">
        <v>53.2</v>
      </c>
      <c r="AC24" s="6">
        <v>3010</v>
      </c>
      <c r="AD24" s="6">
        <f>AE24+AF24+AG24+AH24</f>
        <v>2700</v>
      </c>
      <c r="AE24" s="6">
        <v>1094</v>
      </c>
      <c r="AF24" s="6">
        <v>125</v>
      </c>
      <c r="AG24" s="6">
        <v>18</v>
      </c>
      <c r="AH24" s="6">
        <v>1463</v>
      </c>
      <c r="AI24" s="1"/>
      <c r="AJ24" s="6" t="s">
        <v>22</v>
      </c>
      <c r="AK24" s="27"/>
      <c r="AL24" s="6"/>
      <c r="AM24" s="6">
        <f>AN24+AO24+AP24+AQ24</f>
        <v>0</v>
      </c>
      <c r="AN24" s="6"/>
      <c r="AO24" s="6"/>
      <c r="AP24" s="6"/>
      <c r="AQ24" s="6"/>
      <c r="AZ24" s="1"/>
      <c r="BA24" s="114"/>
      <c r="BB24" s="1"/>
      <c r="BC24" s="1"/>
      <c r="BD24" s="1"/>
      <c r="BE24" s="1"/>
      <c r="BF24" s="1"/>
      <c r="BG24" s="1"/>
    </row>
    <row r="25" spans="1:59">
      <c r="A25" s="6" t="s">
        <v>12</v>
      </c>
      <c r="B25" s="26">
        <f t="shared" ref="B25:H25" si="27">B24/B23*100</f>
        <v>60.119216576781156</v>
      </c>
      <c r="C25" s="26">
        <f t="shared" si="27"/>
        <v>41.588869754373242</v>
      </c>
      <c r="D25" s="26">
        <f t="shared" si="27"/>
        <v>44.328891777705557</v>
      </c>
      <c r="E25" s="26">
        <f t="shared" si="27"/>
        <v>28.252563844761713</v>
      </c>
      <c r="F25" s="26">
        <f t="shared" si="27"/>
        <v>28.384647827920706</v>
      </c>
      <c r="G25" s="26">
        <f t="shared" si="27"/>
        <v>25.144508670520231</v>
      </c>
      <c r="H25" s="26">
        <f t="shared" si="27"/>
        <v>55.876346082435944</v>
      </c>
      <c r="I25" s="201"/>
      <c r="J25" s="6" t="s">
        <v>12</v>
      </c>
      <c r="K25" s="26">
        <f t="shared" ref="K25:Q25" si="28">K24/K23*100</f>
        <v>118.97974493623404</v>
      </c>
      <c r="L25" s="26">
        <f t="shared" si="28"/>
        <v>102.25501575194826</v>
      </c>
      <c r="M25" s="26">
        <f t="shared" si="28"/>
        <v>109.63614554178329</v>
      </c>
      <c r="N25" s="26">
        <f t="shared" si="28"/>
        <v>130.67226890756302</v>
      </c>
      <c r="O25" s="26">
        <f t="shared" si="28"/>
        <v>49.592760180995477</v>
      </c>
      <c r="P25" s="26">
        <f t="shared" si="28"/>
        <v>20.783132530120483</v>
      </c>
      <c r="Q25" s="26">
        <f t="shared" si="28"/>
        <v>136.94018635407275</v>
      </c>
      <c r="R25" s="6" t="s">
        <v>12</v>
      </c>
      <c r="S25" s="26">
        <f t="shared" ref="S25:Y25" si="29">S24/S23*100</f>
        <v>24.629629629629633</v>
      </c>
      <c r="T25" s="26">
        <f t="shared" si="29"/>
        <v>19.061490722563484</v>
      </c>
      <c r="U25" s="26">
        <f t="shared" si="29"/>
        <v>20.368135184067594</v>
      </c>
      <c r="V25" s="26">
        <f t="shared" si="29"/>
        <v>23.38106432998504</v>
      </c>
      <c r="W25" s="26">
        <f t="shared" si="29"/>
        <v>10.313531353135314</v>
      </c>
      <c r="X25" s="26">
        <f t="shared" si="29"/>
        <v>200</v>
      </c>
      <c r="Y25" s="26">
        <f t="shared" si="29"/>
        <v>19.888526373028821</v>
      </c>
      <c r="Z25" s="113"/>
      <c r="AA25" s="6" t="s">
        <v>12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113"/>
      <c r="AJ25" s="6" t="s">
        <v>12</v>
      </c>
      <c r="AK25" s="26">
        <f>AK24/AK23*100</f>
        <v>0</v>
      </c>
      <c r="AL25" s="26">
        <f>AL24/AL23*100</f>
        <v>0</v>
      </c>
      <c r="AM25" s="26">
        <f>AM24/AM23*100</f>
        <v>0</v>
      </c>
      <c r="AN25" s="26">
        <v>0</v>
      </c>
      <c r="AO25" s="26">
        <f>AO24/AO23*100</f>
        <v>0</v>
      </c>
      <c r="AP25" s="26">
        <f>AP24/AP23*100</f>
        <v>0</v>
      </c>
      <c r="AQ25" s="26">
        <f>AQ24/AQ23*100</f>
        <v>0</v>
      </c>
      <c r="AZ25" s="1"/>
      <c r="BA25" s="113"/>
      <c r="BB25" s="113"/>
      <c r="BC25" s="113"/>
      <c r="BD25" s="113"/>
      <c r="BE25" s="113"/>
      <c r="BF25" s="113"/>
      <c r="BG25" s="113"/>
    </row>
    <row r="26" spans="1:59">
      <c r="A26" s="6" t="s">
        <v>23</v>
      </c>
      <c r="B26" s="27">
        <f>K26+S26+AK26</f>
        <v>49.300000000000004</v>
      </c>
      <c r="C26" s="6">
        <f>L26+T26+AL26</f>
        <v>1416</v>
      </c>
      <c r="D26" s="6">
        <f>E26+F26+G26+H26</f>
        <v>1218</v>
      </c>
      <c r="E26" s="6">
        <f t="shared" ref="E26:H27" si="30">N26+V26+AN26</f>
        <v>85</v>
      </c>
      <c r="F26" s="6">
        <f t="shared" si="30"/>
        <v>286</v>
      </c>
      <c r="G26" s="6">
        <f t="shared" si="30"/>
        <v>28</v>
      </c>
      <c r="H26" s="6">
        <f t="shared" si="30"/>
        <v>819</v>
      </c>
      <c r="I26" s="201"/>
      <c r="J26" s="6" t="s">
        <v>23</v>
      </c>
      <c r="K26" s="27">
        <v>25.2</v>
      </c>
      <c r="L26" s="6">
        <v>600</v>
      </c>
      <c r="M26" s="6">
        <v>517</v>
      </c>
      <c r="N26" s="6">
        <v>10</v>
      </c>
      <c r="O26" s="6">
        <v>127</v>
      </c>
      <c r="P26" s="6">
        <v>18</v>
      </c>
      <c r="Q26" s="6">
        <v>362</v>
      </c>
      <c r="R26" s="6" t="s">
        <v>23</v>
      </c>
      <c r="S26" s="27">
        <v>23.700000000000003</v>
      </c>
      <c r="T26" s="6">
        <v>782</v>
      </c>
      <c r="U26" s="6">
        <v>672</v>
      </c>
      <c r="V26" s="6">
        <v>72</v>
      </c>
      <c r="W26" s="6">
        <v>153</v>
      </c>
      <c r="X26" s="6">
        <v>9</v>
      </c>
      <c r="Y26" s="6">
        <v>438</v>
      </c>
      <c r="Z26" s="1"/>
      <c r="AA26" s="6" t="s">
        <v>23</v>
      </c>
      <c r="AB26" s="27">
        <v>18.100000000000001</v>
      </c>
      <c r="AC26" s="6">
        <v>552</v>
      </c>
      <c r="AD26" s="6">
        <v>474</v>
      </c>
      <c r="AE26" s="6">
        <v>61</v>
      </c>
      <c r="AF26" s="6">
        <v>101</v>
      </c>
      <c r="AG26" s="6">
        <v>5</v>
      </c>
      <c r="AH26" s="6">
        <v>307</v>
      </c>
      <c r="AI26" s="1"/>
      <c r="AJ26" s="6" t="s">
        <v>23</v>
      </c>
      <c r="AK26" s="6">
        <v>0.4</v>
      </c>
      <c r="AL26" s="6">
        <v>34</v>
      </c>
      <c r="AM26" s="6">
        <v>29</v>
      </c>
      <c r="AN26" s="6">
        <v>3</v>
      </c>
      <c r="AO26" s="6">
        <v>6</v>
      </c>
      <c r="AP26" s="6">
        <v>1</v>
      </c>
      <c r="AQ26" s="6">
        <v>19</v>
      </c>
      <c r="AZ26" s="1"/>
      <c r="BA26" s="1"/>
      <c r="BB26" s="1"/>
      <c r="BC26" s="1"/>
      <c r="BD26" s="1"/>
      <c r="BE26" s="1"/>
      <c r="BF26" s="1"/>
      <c r="BG26" s="1"/>
    </row>
    <row r="27" spans="1:59">
      <c r="A27" s="6" t="s">
        <v>24</v>
      </c>
      <c r="B27" s="6">
        <f>K27+S27+AK27</f>
        <v>28.900000000000002</v>
      </c>
      <c r="C27" s="6">
        <f>L27+T27+AL27</f>
        <v>724</v>
      </c>
      <c r="D27" s="6">
        <f>E27+F27+G27+H27</f>
        <v>666</v>
      </c>
      <c r="E27" s="6">
        <f t="shared" si="30"/>
        <v>246</v>
      </c>
      <c r="F27" s="6">
        <f t="shared" si="30"/>
        <v>34</v>
      </c>
      <c r="G27" s="6">
        <f t="shared" si="30"/>
        <v>5</v>
      </c>
      <c r="H27" s="6">
        <f t="shared" si="30"/>
        <v>381</v>
      </c>
      <c r="I27" s="201"/>
      <c r="J27" s="6" t="s">
        <v>24</v>
      </c>
      <c r="K27" s="27">
        <v>28.8</v>
      </c>
      <c r="L27" s="6">
        <v>717</v>
      </c>
      <c r="M27" s="6">
        <f>N27+O27+P27+Q27</f>
        <v>659</v>
      </c>
      <c r="N27" s="6">
        <v>243</v>
      </c>
      <c r="O27" s="6">
        <v>34</v>
      </c>
      <c r="P27" s="6">
        <v>5</v>
      </c>
      <c r="Q27" s="6">
        <v>377</v>
      </c>
      <c r="R27" s="6" t="s">
        <v>24</v>
      </c>
      <c r="S27" s="27">
        <v>0.1</v>
      </c>
      <c r="T27" s="6">
        <v>7</v>
      </c>
      <c r="U27" s="6">
        <f>V27+W27+X27+Y27</f>
        <v>7</v>
      </c>
      <c r="V27" s="6">
        <v>3</v>
      </c>
      <c r="W27" s="6"/>
      <c r="X27" s="6"/>
      <c r="Y27" s="6">
        <v>4</v>
      </c>
      <c r="Z27" s="1"/>
      <c r="AA27" s="6" t="s">
        <v>24</v>
      </c>
      <c r="AB27" s="27">
        <v>0.1</v>
      </c>
      <c r="AC27" s="6">
        <v>7</v>
      </c>
      <c r="AD27" s="6">
        <f>AE27+AF27+AG27+AH27</f>
        <v>7</v>
      </c>
      <c r="AE27" s="6">
        <v>3</v>
      </c>
      <c r="AF27" s="6"/>
      <c r="AG27" s="6"/>
      <c r="AH27" s="6">
        <v>4</v>
      </c>
      <c r="AI27" s="1"/>
      <c r="AJ27" s="6" t="s">
        <v>24</v>
      </c>
      <c r="AK27" s="27"/>
      <c r="AL27" s="6"/>
      <c r="AM27" s="6">
        <f>AN27+AO27+AP27+AQ27</f>
        <v>0</v>
      </c>
      <c r="AN27" s="6"/>
      <c r="AO27" s="6"/>
      <c r="AP27" s="6"/>
      <c r="AQ27" s="6"/>
      <c r="AZ27" s="1"/>
      <c r="BA27" s="114"/>
      <c r="BB27" s="1"/>
      <c r="BC27" s="1"/>
      <c r="BD27" s="1"/>
      <c r="BE27" s="1"/>
      <c r="BF27" s="1"/>
      <c r="BG27" s="1"/>
    </row>
    <row r="28" spans="1:59">
      <c r="A28" s="6" t="s">
        <v>12</v>
      </c>
      <c r="B28" s="26">
        <f t="shared" ref="B28:H28" si="31">B27/B26*100</f>
        <v>58.620689655172406</v>
      </c>
      <c r="C28" s="26">
        <f t="shared" si="31"/>
        <v>51.129943502824858</v>
      </c>
      <c r="D28" s="26">
        <f t="shared" si="31"/>
        <v>54.679802955665025</v>
      </c>
      <c r="E28" s="26">
        <f t="shared" si="31"/>
        <v>289.41176470588232</v>
      </c>
      <c r="F28" s="26">
        <f t="shared" si="31"/>
        <v>11.888111888111888</v>
      </c>
      <c r="G28" s="26">
        <f t="shared" si="31"/>
        <v>17.857142857142858</v>
      </c>
      <c r="H28" s="26">
        <f t="shared" si="31"/>
        <v>46.520146520146518</v>
      </c>
      <c r="I28" s="201"/>
      <c r="J28" s="6" t="s">
        <v>12</v>
      </c>
      <c r="K28" s="26">
        <f t="shared" ref="K28:Q28" si="32">K27/K26*100</f>
        <v>114.28571428571431</v>
      </c>
      <c r="L28" s="26">
        <f t="shared" si="32"/>
        <v>119.5</v>
      </c>
      <c r="M28" s="26">
        <f t="shared" si="32"/>
        <v>127.46615087040618</v>
      </c>
      <c r="N28" s="26">
        <f t="shared" si="32"/>
        <v>2430</v>
      </c>
      <c r="O28" s="26">
        <f t="shared" si="32"/>
        <v>26.771653543307089</v>
      </c>
      <c r="P28" s="26">
        <f t="shared" si="32"/>
        <v>27.777777777777779</v>
      </c>
      <c r="Q28" s="26">
        <f t="shared" si="32"/>
        <v>104.14364640883977</v>
      </c>
      <c r="R28" s="6" t="s">
        <v>12</v>
      </c>
      <c r="S28" s="26">
        <f t="shared" ref="S28:Y28" si="33">S27/S26*100</f>
        <v>0.42194092827004215</v>
      </c>
      <c r="T28" s="26">
        <f t="shared" si="33"/>
        <v>0.8951406649616368</v>
      </c>
      <c r="U28" s="26">
        <f t="shared" si="33"/>
        <v>1.0416666666666665</v>
      </c>
      <c r="V28" s="26">
        <f t="shared" si="33"/>
        <v>4.1666666666666661</v>
      </c>
      <c r="W28" s="26">
        <f t="shared" si="33"/>
        <v>0</v>
      </c>
      <c r="X28" s="26">
        <f t="shared" si="33"/>
        <v>0</v>
      </c>
      <c r="Y28" s="26">
        <f t="shared" si="33"/>
        <v>0.91324200913242004</v>
      </c>
      <c r="Z28" s="113"/>
      <c r="AA28" s="6" t="s">
        <v>12</v>
      </c>
      <c r="AB28" s="26"/>
      <c r="AC28" s="26"/>
      <c r="AD28" s="26"/>
      <c r="AE28" s="26"/>
      <c r="AF28" s="26"/>
      <c r="AG28" s="26"/>
      <c r="AH28" s="26"/>
      <c r="AI28" s="113"/>
      <c r="AJ28" s="6" t="s">
        <v>12</v>
      </c>
      <c r="AK28" s="26">
        <f>AK27/AK26*100</f>
        <v>0</v>
      </c>
      <c r="AL28" s="26">
        <f>AL27/AL26*100</f>
        <v>0</v>
      </c>
      <c r="AM28" s="26">
        <f>AM27/AM26*100</f>
        <v>0</v>
      </c>
      <c r="AN28" s="26">
        <v>0</v>
      </c>
      <c r="AO28" s="26">
        <f>AO27/AO26*100</f>
        <v>0</v>
      </c>
      <c r="AP28" s="26">
        <f>AP27/AP26*100</f>
        <v>0</v>
      </c>
      <c r="AQ28" s="26">
        <f>AQ27/AQ26*100</f>
        <v>0</v>
      </c>
      <c r="AZ28" s="1"/>
      <c r="BA28" s="113"/>
      <c r="BB28" s="113"/>
      <c r="BC28" s="113"/>
      <c r="BD28" s="113"/>
      <c r="BE28" s="113"/>
      <c r="BF28" s="113"/>
      <c r="BG28" s="113"/>
    </row>
    <row r="29" spans="1:59">
      <c r="A29" s="6" t="s">
        <v>25</v>
      </c>
      <c r="B29" s="6">
        <f>K29+S29+AK29</f>
        <v>7.2000000000000011</v>
      </c>
      <c r="C29" s="6">
        <f>L29+T29+AL29</f>
        <v>231</v>
      </c>
      <c r="D29" s="6">
        <f>E29+F29+G29+H29</f>
        <v>195</v>
      </c>
      <c r="E29" s="6">
        <f t="shared" ref="E29:H30" si="34">N29+V29+AN29</f>
        <v>13</v>
      </c>
      <c r="F29" s="6">
        <f t="shared" si="34"/>
        <v>49</v>
      </c>
      <c r="G29" s="6">
        <f t="shared" si="34"/>
        <v>4</v>
      </c>
      <c r="H29" s="6">
        <f t="shared" si="34"/>
        <v>129</v>
      </c>
      <c r="I29" s="201"/>
      <c r="J29" s="6" t="s">
        <v>25</v>
      </c>
      <c r="K29" s="27">
        <v>2.1</v>
      </c>
      <c r="L29" s="6">
        <v>55</v>
      </c>
      <c r="M29" s="6">
        <v>48</v>
      </c>
      <c r="N29" s="6">
        <v>0</v>
      </c>
      <c r="O29" s="6">
        <v>13</v>
      </c>
      <c r="P29" s="6">
        <v>1</v>
      </c>
      <c r="Q29" s="6">
        <v>34</v>
      </c>
      <c r="R29" s="6" t="s">
        <v>25</v>
      </c>
      <c r="S29" s="6">
        <v>5.1000000000000005</v>
      </c>
      <c r="T29" s="6">
        <v>176</v>
      </c>
      <c r="U29" s="6">
        <v>147</v>
      </c>
      <c r="V29" s="6">
        <v>13</v>
      </c>
      <c r="W29" s="6">
        <v>36</v>
      </c>
      <c r="X29" s="6">
        <v>3</v>
      </c>
      <c r="Y29" s="6">
        <v>95</v>
      </c>
      <c r="Z29" s="1"/>
      <c r="AA29" s="6" t="s">
        <v>25</v>
      </c>
      <c r="AB29" s="6">
        <v>4.2</v>
      </c>
      <c r="AC29" s="6">
        <v>125</v>
      </c>
      <c r="AD29" s="6">
        <v>103</v>
      </c>
      <c r="AE29" s="6">
        <v>12</v>
      </c>
      <c r="AF29" s="6">
        <v>24</v>
      </c>
      <c r="AG29" s="6">
        <v>2</v>
      </c>
      <c r="AH29" s="6">
        <v>65</v>
      </c>
      <c r="AI29" s="1"/>
      <c r="AJ29" s="6" t="s">
        <v>25</v>
      </c>
      <c r="AK29" s="6"/>
      <c r="AL29" s="6"/>
      <c r="AM29" s="6"/>
      <c r="AN29" s="6"/>
      <c r="AO29" s="6"/>
      <c r="AP29" s="6"/>
      <c r="AQ29" s="6"/>
      <c r="AZ29" s="1"/>
      <c r="BA29" s="1"/>
      <c r="BB29" s="1"/>
      <c r="BC29" s="1"/>
      <c r="BD29" s="1"/>
      <c r="BE29" s="1"/>
      <c r="BF29" s="1"/>
      <c r="BG29" s="1"/>
    </row>
    <row r="30" spans="1:59">
      <c r="A30" s="6" t="s">
        <v>26</v>
      </c>
      <c r="B30" s="6">
        <f>K30+S30+AK30</f>
        <v>2.8</v>
      </c>
      <c r="C30" s="6">
        <f>L30+T30+AL30</f>
        <v>113</v>
      </c>
      <c r="D30" s="6">
        <f>E30+F30+G30+H30</f>
        <v>101</v>
      </c>
      <c r="E30" s="6">
        <f t="shared" si="34"/>
        <v>7</v>
      </c>
      <c r="F30" s="6">
        <f t="shared" si="34"/>
        <v>15</v>
      </c>
      <c r="G30" s="6">
        <f t="shared" si="34"/>
        <v>5</v>
      </c>
      <c r="H30" s="6">
        <f t="shared" si="34"/>
        <v>74</v>
      </c>
      <c r="I30" s="201"/>
      <c r="J30" s="6" t="s">
        <v>26</v>
      </c>
      <c r="K30" s="6">
        <v>2.8</v>
      </c>
      <c r="L30" s="6">
        <v>113</v>
      </c>
      <c r="M30" s="6">
        <f>N30+O30+P30+Q30</f>
        <v>101</v>
      </c>
      <c r="N30" s="6">
        <v>7</v>
      </c>
      <c r="O30" s="6">
        <v>15</v>
      </c>
      <c r="P30" s="6">
        <v>5</v>
      </c>
      <c r="Q30" s="6">
        <v>74</v>
      </c>
      <c r="R30" s="6" t="s">
        <v>26</v>
      </c>
      <c r="S30" s="27"/>
      <c r="T30" s="6"/>
      <c r="U30" s="6">
        <f>V30+W30+X30+Y30</f>
        <v>0</v>
      </c>
      <c r="V30" s="6"/>
      <c r="W30" s="6"/>
      <c r="X30" s="6"/>
      <c r="Y30" s="6"/>
      <c r="Z30" s="1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  <c r="AZ30" s="1"/>
      <c r="BA30" s="1"/>
      <c r="BB30" s="1"/>
      <c r="BC30" s="1"/>
      <c r="BD30" s="1"/>
      <c r="BE30" s="1"/>
      <c r="BF30" s="1"/>
      <c r="BG30" s="1"/>
    </row>
    <row r="31" spans="1:59">
      <c r="A31" s="6" t="s">
        <v>12</v>
      </c>
      <c r="B31" s="26">
        <f t="shared" ref="B31:H31" si="35">B30/B29*100</f>
        <v>38.888888888888879</v>
      </c>
      <c r="C31" s="26">
        <f t="shared" si="35"/>
        <v>48.917748917748916</v>
      </c>
      <c r="D31" s="26">
        <f t="shared" si="35"/>
        <v>51.794871794871803</v>
      </c>
      <c r="E31" s="26">
        <f t="shared" si="35"/>
        <v>53.846153846153847</v>
      </c>
      <c r="F31" s="26">
        <f t="shared" si="35"/>
        <v>30.612244897959183</v>
      </c>
      <c r="G31" s="26">
        <f t="shared" si="35"/>
        <v>125</v>
      </c>
      <c r="H31" s="26">
        <f t="shared" si="35"/>
        <v>57.36434108527132</v>
      </c>
      <c r="I31" s="201"/>
      <c r="J31" s="6" t="s">
        <v>12</v>
      </c>
      <c r="K31" s="26">
        <f t="shared" ref="K31:Q31" si="36">K30/K29*100</f>
        <v>133.33333333333331</v>
      </c>
      <c r="L31" s="26">
        <f t="shared" si="36"/>
        <v>205.45454545454547</v>
      </c>
      <c r="M31" s="26">
        <f t="shared" si="36"/>
        <v>210.41666666666666</v>
      </c>
      <c r="N31" s="26">
        <v>0</v>
      </c>
      <c r="O31" s="26">
        <f t="shared" si="36"/>
        <v>115.38461538461537</v>
      </c>
      <c r="P31" s="26">
        <f t="shared" si="36"/>
        <v>500</v>
      </c>
      <c r="Q31" s="26">
        <f t="shared" si="36"/>
        <v>217.64705882352939</v>
      </c>
      <c r="R31" s="6" t="s">
        <v>12</v>
      </c>
      <c r="S31" s="26">
        <f t="shared" ref="S31:Y31" si="37">S30/S29*100</f>
        <v>0</v>
      </c>
      <c r="T31" s="26">
        <f t="shared" si="37"/>
        <v>0</v>
      </c>
      <c r="U31" s="26">
        <f t="shared" si="37"/>
        <v>0</v>
      </c>
      <c r="V31" s="26">
        <f t="shared" si="37"/>
        <v>0</v>
      </c>
      <c r="W31" s="26">
        <f t="shared" si="37"/>
        <v>0</v>
      </c>
      <c r="X31" s="26">
        <f t="shared" si="37"/>
        <v>0</v>
      </c>
      <c r="Y31" s="26">
        <f t="shared" si="37"/>
        <v>0</v>
      </c>
      <c r="Z31" s="113"/>
      <c r="AA31" s="6" t="s">
        <v>12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113"/>
      <c r="AJ31" s="6" t="s">
        <v>12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Z31" s="1"/>
      <c r="BA31" s="113"/>
      <c r="BB31" s="113"/>
      <c r="BC31" s="113"/>
      <c r="BD31" s="113"/>
      <c r="BE31" s="113"/>
      <c r="BF31" s="113"/>
      <c r="BG31" s="113"/>
    </row>
    <row r="32" spans="1:59">
      <c r="A32" s="6" t="s">
        <v>27</v>
      </c>
      <c r="B32" s="6">
        <f>K32+S32+AK32</f>
        <v>0</v>
      </c>
      <c r="C32" s="6">
        <f>L32+T32+AL32</f>
        <v>0</v>
      </c>
      <c r="D32" s="6">
        <f>E32+F32+G32+H32</f>
        <v>0</v>
      </c>
      <c r="E32" s="6">
        <f t="shared" ref="E32:H33" si="38">N32+V32+AN32</f>
        <v>0</v>
      </c>
      <c r="F32" s="6">
        <f t="shared" si="38"/>
        <v>0</v>
      </c>
      <c r="G32" s="6">
        <f t="shared" si="38"/>
        <v>0</v>
      </c>
      <c r="H32" s="6">
        <f t="shared" si="38"/>
        <v>0</v>
      </c>
      <c r="I32" s="201"/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/>
      <c r="T32" s="6"/>
      <c r="U32" s="6">
        <f>V32+W32+X32+Y32</f>
        <v>0</v>
      </c>
      <c r="V32" s="6"/>
      <c r="W32" s="6"/>
      <c r="X32" s="6"/>
      <c r="Y32" s="6"/>
      <c r="Z32" s="1"/>
      <c r="AA32" s="6" t="s">
        <v>27</v>
      </c>
      <c r="AB32" s="6"/>
      <c r="AC32" s="6"/>
      <c r="AD32" s="6">
        <f>AE32+AF32+AG32+AH32</f>
        <v>0</v>
      </c>
      <c r="AE32" s="6"/>
      <c r="AF32" s="6"/>
      <c r="AG32" s="6"/>
      <c r="AH32" s="6"/>
      <c r="AI32" s="1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  <c r="AZ32" s="1"/>
      <c r="BA32" s="1"/>
      <c r="BB32" s="1"/>
      <c r="BC32" s="1"/>
      <c r="BD32" s="1"/>
      <c r="BE32" s="1"/>
      <c r="BF32" s="1"/>
      <c r="BG32" s="1"/>
    </row>
    <row r="33" spans="1:59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38"/>
        <v>0</v>
      </c>
      <c r="F33" s="6">
        <f t="shared" si="38"/>
        <v>0</v>
      </c>
      <c r="G33" s="6">
        <f t="shared" si="38"/>
        <v>0</v>
      </c>
      <c r="H33" s="6">
        <f t="shared" si="38"/>
        <v>0</v>
      </c>
      <c r="I33" s="201"/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/>
      <c r="T33" s="6"/>
      <c r="U33" s="6">
        <f>V33+W33+X33+Y33</f>
        <v>0</v>
      </c>
      <c r="V33" s="6"/>
      <c r="W33" s="6"/>
      <c r="X33" s="6"/>
      <c r="Y33" s="6"/>
      <c r="Z33" s="1"/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I33" s="1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  <c r="AZ33" s="1"/>
      <c r="BA33" s="1"/>
      <c r="BB33" s="1"/>
      <c r="BC33" s="1"/>
      <c r="BD33" s="1"/>
      <c r="BE33" s="1"/>
      <c r="BF33" s="1"/>
      <c r="BG33" s="1"/>
    </row>
    <row r="34" spans="1:59">
      <c r="A34" s="6" t="s">
        <v>12</v>
      </c>
      <c r="B34" s="26" t="e">
        <f t="shared" ref="B34:H34" si="39">B33/B32*100</f>
        <v>#DIV/0!</v>
      </c>
      <c r="C34" s="26" t="e">
        <f t="shared" si="39"/>
        <v>#DIV/0!</v>
      </c>
      <c r="D34" s="26" t="e">
        <f t="shared" si="39"/>
        <v>#DIV/0!</v>
      </c>
      <c r="E34" s="26" t="e">
        <f t="shared" si="39"/>
        <v>#DIV/0!</v>
      </c>
      <c r="F34" s="26" t="e">
        <f t="shared" si="39"/>
        <v>#DIV/0!</v>
      </c>
      <c r="G34" s="26" t="e">
        <f t="shared" si="39"/>
        <v>#DIV/0!</v>
      </c>
      <c r="H34" s="26" t="e">
        <f t="shared" si="39"/>
        <v>#DIV/0!</v>
      </c>
      <c r="I34" s="201"/>
      <c r="J34" s="6" t="s">
        <v>12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6" t="s">
        <v>12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113"/>
      <c r="AA34" s="6" t="s">
        <v>12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113"/>
      <c r="AJ34" s="6" t="s">
        <v>12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Z34" s="1"/>
      <c r="BA34" s="113"/>
      <c r="BB34" s="113"/>
      <c r="BC34" s="113"/>
      <c r="BD34" s="113"/>
      <c r="BE34" s="113"/>
      <c r="BF34" s="113"/>
      <c r="BG34" s="113"/>
    </row>
    <row r="35" spans="1:59">
      <c r="A35" s="6" t="s">
        <v>29</v>
      </c>
      <c r="B35" s="27">
        <f>K35+S35+AK35</f>
        <v>21.3</v>
      </c>
      <c r="C35" s="6">
        <f>L35+T35+AL35</f>
        <v>1587</v>
      </c>
      <c r="D35" s="6">
        <f>E35+F35+G35+H35</f>
        <v>1382</v>
      </c>
      <c r="E35" s="6">
        <f t="shared" ref="E35:H36" si="40">N35+V35+AN35</f>
        <v>0</v>
      </c>
      <c r="F35" s="6">
        <f t="shared" si="40"/>
        <v>365</v>
      </c>
      <c r="G35" s="6">
        <f t="shared" si="40"/>
        <v>254</v>
      </c>
      <c r="H35" s="6">
        <f t="shared" si="40"/>
        <v>763</v>
      </c>
      <c r="I35" s="201"/>
      <c r="J35" s="6" t="s">
        <v>29</v>
      </c>
      <c r="K35" s="6">
        <v>0.9</v>
      </c>
      <c r="L35" s="6">
        <v>20</v>
      </c>
      <c r="M35" s="6">
        <v>18</v>
      </c>
      <c r="N35" s="6">
        <v>0</v>
      </c>
      <c r="O35" s="6">
        <v>4</v>
      </c>
      <c r="P35" s="6">
        <v>3</v>
      </c>
      <c r="Q35" s="6">
        <v>11</v>
      </c>
      <c r="R35" s="6" t="s">
        <v>29</v>
      </c>
      <c r="S35" s="27">
        <v>20.400000000000002</v>
      </c>
      <c r="T35" s="6">
        <v>1567</v>
      </c>
      <c r="U35" s="6">
        <v>1364</v>
      </c>
      <c r="V35" s="6">
        <v>0</v>
      </c>
      <c r="W35" s="6">
        <v>361</v>
      </c>
      <c r="X35" s="6">
        <v>251</v>
      </c>
      <c r="Y35" s="6">
        <v>752</v>
      </c>
      <c r="Z35" s="1"/>
      <c r="AA35" s="6" t="s">
        <v>29</v>
      </c>
      <c r="AB35" s="6">
        <v>0.6</v>
      </c>
      <c r="AC35" s="6">
        <v>32</v>
      </c>
      <c r="AD35" s="6">
        <v>28</v>
      </c>
      <c r="AE35" s="6">
        <v>0</v>
      </c>
      <c r="AF35" s="6">
        <v>8</v>
      </c>
      <c r="AG35" s="6">
        <v>5</v>
      </c>
      <c r="AH35" s="6">
        <v>16</v>
      </c>
      <c r="AI35" s="1"/>
      <c r="AJ35" s="6" t="s">
        <v>29</v>
      </c>
      <c r="AK35" s="6"/>
      <c r="AL35" s="6"/>
      <c r="AM35" s="6">
        <f>AN35+AO35+AP35+AQ35</f>
        <v>0</v>
      </c>
      <c r="AN35" s="6"/>
      <c r="AO35" s="6"/>
      <c r="AP35" s="6"/>
      <c r="AQ35" s="6"/>
      <c r="AZ35" s="1"/>
      <c r="BA35" s="1"/>
      <c r="BB35" s="1"/>
      <c r="BC35" s="1"/>
      <c r="BD35" s="1"/>
      <c r="BE35" s="1"/>
      <c r="BF35" s="1"/>
      <c r="BG35" s="1"/>
    </row>
    <row r="36" spans="1:59">
      <c r="A36" s="6" t="s">
        <v>30</v>
      </c>
      <c r="B36" s="6">
        <f>K36+S36+AK36</f>
        <v>4</v>
      </c>
      <c r="C36" s="6">
        <f>L36+T36+AL36</f>
        <v>230</v>
      </c>
      <c r="D36" s="6">
        <f>E36+F36+G36+H36</f>
        <v>205</v>
      </c>
      <c r="E36" s="6">
        <f t="shared" si="40"/>
        <v>0</v>
      </c>
      <c r="F36" s="6">
        <f t="shared" si="40"/>
        <v>55</v>
      </c>
      <c r="G36" s="6">
        <f t="shared" si="40"/>
        <v>35</v>
      </c>
      <c r="H36" s="6">
        <f t="shared" si="40"/>
        <v>115</v>
      </c>
      <c r="I36" s="201"/>
      <c r="J36" s="6" t="s">
        <v>30</v>
      </c>
      <c r="K36" s="6"/>
      <c r="L36" s="6"/>
      <c r="M36" s="6">
        <f>N36+O36+P36+Q36</f>
        <v>0</v>
      </c>
      <c r="N36" s="6"/>
      <c r="O36" s="6"/>
      <c r="P36" s="6"/>
      <c r="Q36" s="6"/>
      <c r="R36" s="6" t="s">
        <v>30</v>
      </c>
      <c r="S36" s="27">
        <v>4</v>
      </c>
      <c r="T36" s="6">
        <v>230</v>
      </c>
      <c r="U36" s="6">
        <f>V36+W36+X36+Y36</f>
        <v>205</v>
      </c>
      <c r="V36" s="6"/>
      <c r="W36" s="6">
        <v>55</v>
      </c>
      <c r="X36" s="6">
        <v>35</v>
      </c>
      <c r="Y36" s="6">
        <v>115</v>
      </c>
      <c r="Z36" s="1"/>
      <c r="AA36" s="6" t="s">
        <v>30</v>
      </c>
      <c r="AB36" s="6"/>
      <c r="AC36" s="6"/>
      <c r="AD36" s="6">
        <f>AE36+AF36+AG36+AH36</f>
        <v>0</v>
      </c>
      <c r="AE36" s="6"/>
      <c r="AF36" s="6"/>
      <c r="AG36" s="6"/>
      <c r="AH36" s="6"/>
      <c r="AI36" s="1"/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  <c r="AZ36" s="1"/>
      <c r="BA36" s="1"/>
      <c r="BB36" s="1"/>
      <c r="BC36" s="1"/>
      <c r="BD36" s="1"/>
      <c r="BE36" s="1"/>
      <c r="BF36" s="1"/>
      <c r="BG36" s="1"/>
    </row>
    <row r="37" spans="1:59">
      <c r="A37" s="6" t="s">
        <v>12</v>
      </c>
      <c r="B37" s="26">
        <f t="shared" ref="B37:H37" si="41">B36/B35*100</f>
        <v>18.779342723004692</v>
      </c>
      <c r="C37" s="26">
        <f t="shared" si="41"/>
        <v>14.492753623188406</v>
      </c>
      <c r="D37" s="26">
        <f t="shared" si="41"/>
        <v>14.833574529667148</v>
      </c>
      <c r="E37" s="26" t="e">
        <f t="shared" si="41"/>
        <v>#DIV/0!</v>
      </c>
      <c r="F37" s="26">
        <f t="shared" si="41"/>
        <v>15.068493150684931</v>
      </c>
      <c r="G37" s="26">
        <f t="shared" si="41"/>
        <v>13.779527559055119</v>
      </c>
      <c r="H37" s="26">
        <f t="shared" si="41"/>
        <v>15.072083879423328</v>
      </c>
      <c r="I37" s="201"/>
      <c r="J37" s="6" t="s">
        <v>12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6" t="s">
        <v>12</v>
      </c>
      <c r="S37" s="26">
        <f t="shared" ref="S37:Y37" si="42">S36/S35*100</f>
        <v>19.6078431372549</v>
      </c>
      <c r="T37" s="26">
        <f t="shared" si="42"/>
        <v>14.677728142948309</v>
      </c>
      <c r="U37" s="26">
        <f t="shared" si="42"/>
        <v>15.029325513196481</v>
      </c>
      <c r="V37" s="26">
        <v>0</v>
      </c>
      <c r="W37" s="26">
        <f t="shared" si="42"/>
        <v>15.235457063711911</v>
      </c>
      <c r="X37" s="26">
        <f t="shared" si="42"/>
        <v>13.944223107569719</v>
      </c>
      <c r="Y37" s="26">
        <f t="shared" si="42"/>
        <v>15.292553191489361</v>
      </c>
      <c r="Z37" s="113"/>
      <c r="AA37" s="6" t="s">
        <v>12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113"/>
      <c r="AJ37" s="6" t="s">
        <v>12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Z37" s="1"/>
      <c r="BA37" s="113"/>
      <c r="BB37" s="113"/>
      <c r="BC37" s="113"/>
      <c r="BD37" s="113"/>
      <c r="BE37" s="113"/>
      <c r="BF37" s="113"/>
      <c r="BG37" s="113"/>
    </row>
    <row r="38" spans="1:59">
      <c r="A38" s="6" t="s">
        <v>31</v>
      </c>
      <c r="B38" s="27">
        <f>K38+S38+AK38</f>
        <v>136</v>
      </c>
      <c r="C38" s="6">
        <f>L38+T38+AL38</f>
        <v>4384</v>
      </c>
      <c r="D38" s="6">
        <f>E38+F38+G38+H38</f>
        <v>3649</v>
      </c>
      <c r="E38" s="6">
        <f t="shared" ref="E38:H39" si="43">N38+V38+AN38</f>
        <v>40</v>
      </c>
      <c r="F38" s="6">
        <f t="shared" si="43"/>
        <v>927</v>
      </c>
      <c r="G38" s="6">
        <f t="shared" si="43"/>
        <v>463</v>
      </c>
      <c r="H38" s="6">
        <f t="shared" si="43"/>
        <v>2219</v>
      </c>
      <c r="I38" s="201"/>
      <c r="J38" s="6" t="s">
        <v>31</v>
      </c>
      <c r="K38" s="27">
        <v>115.2</v>
      </c>
      <c r="L38" s="6">
        <v>3490</v>
      </c>
      <c r="M38" s="6">
        <v>2893</v>
      </c>
      <c r="N38" s="6">
        <v>9</v>
      </c>
      <c r="O38" s="6">
        <v>620</v>
      </c>
      <c r="P38" s="6">
        <v>448</v>
      </c>
      <c r="Q38" s="6">
        <v>1816</v>
      </c>
      <c r="R38" s="6" t="s">
        <v>31</v>
      </c>
      <c r="S38" s="27">
        <v>18.899999999999999</v>
      </c>
      <c r="T38" s="6">
        <v>856</v>
      </c>
      <c r="U38" s="6">
        <v>724</v>
      </c>
      <c r="V38" s="6">
        <v>31</v>
      </c>
      <c r="W38" s="6">
        <v>294</v>
      </c>
      <c r="X38" s="6">
        <v>15</v>
      </c>
      <c r="Y38" s="6">
        <v>384</v>
      </c>
      <c r="Z38" s="1"/>
      <c r="AA38" s="6" t="s">
        <v>31</v>
      </c>
      <c r="AB38" s="27">
        <v>13.4</v>
      </c>
      <c r="AC38" s="6">
        <v>597</v>
      </c>
      <c r="AD38" s="6">
        <v>506</v>
      </c>
      <c r="AE38" s="6">
        <v>25</v>
      </c>
      <c r="AF38" s="6">
        <v>216</v>
      </c>
      <c r="AG38" s="6">
        <v>4</v>
      </c>
      <c r="AH38" s="6">
        <v>262</v>
      </c>
      <c r="AI38" s="1"/>
      <c r="AJ38" s="6" t="s">
        <v>31</v>
      </c>
      <c r="AK38" s="6">
        <v>1.9</v>
      </c>
      <c r="AL38" s="6">
        <v>38</v>
      </c>
      <c r="AM38" s="6">
        <v>32</v>
      </c>
      <c r="AN38" s="6">
        <v>0</v>
      </c>
      <c r="AO38" s="6">
        <v>13</v>
      </c>
      <c r="AP38" s="6">
        <v>0</v>
      </c>
      <c r="AQ38" s="6">
        <v>19</v>
      </c>
      <c r="AZ38" s="1"/>
      <c r="BA38" s="1"/>
      <c r="BB38" s="1"/>
      <c r="BC38" s="1"/>
      <c r="BD38" s="1"/>
      <c r="BE38" s="1"/>
      <c r="BF38" s="1"/>
      <c r="BG38" s="1"/>
    </row>
    <row r="39" spans="1:59">
      <c r="A39" s="6" t="s">
        <v>32</v>
      </c>
      <c r="B39" s="27">
        <f>K39+S39+AK39</f>
        <v>91.5</v>
      </c>
      <c r="C39" s="6">
        <f>L39+T39+AL39</f>
        <v>4747</v>
      </c>
      <c r="D39" s="6">
        <f>E39+F39+G39+H39</f>
        <v>4019</v>
      </c>
      <c r="E39" s="6">
        <f t="shared" si="43"/>
        <v>592</v>
      </c>
      <c r="F39" s="6">
        <f t="shared" si="43"/>
        <v>313</v>
      </c>
      <c r="G39" s="6">
        <f t="shared" si="43"/>
        <v>178</v>
      </c>
      <c r="H39" s="6">
        <f t="shared" si="43"/>
        <v>2936</v>
      </c>
      <c r="I39" s="201"/>
      <c r="J39" s="6" t="s">
        <v>32</v>
      </c>
      <c r="K39" s="27">
        <v>83.7</v>
      </c>
      <c r="L39" s="6">
        <v>4492</v>
      </c>
      <c r="M39" s="6">
        <f>N39+O39+P39+Q39</f>
        <v>3799</v>
      </c>
      <c r="N39" s="6">
        <v>585</v>
      </c>
      <c r="O39" s="6">
        <v>243</v>
      </c>
      <c r="P39" s="6">
        <v>172</v>
      </c>
      <c r="Q39" s="6">
        <v>2799</v>
      </c>
      <c r="R39" s="6" t="s">
        <v>32</v>
      </c>
      <c r="S39" s="27">
        <v>7.8</v>
      </c>
      <c r="T39" s="6">
        <v>255</v>
      </c>
      <c r="U39" s="6">
        <f>V39+W39+X39+Y39</f>
        <v>220</v>
      </c>
      <c r="V39" s="6">
        <v>7</v>
      </c>
      <c r="W39" s="6">
        <v>70</v>
      </c>
      <c r="X39" s="6">
        <v>6</v>
      </c>
      <c r="Y39" s="6">
        <v>137</v>
      </c>
      <c r="Z39" s="1"/>
      <c r="AA39" s="6" t="s">
        <v>32</v>
      </c>
      <c r="AB39" s="27">
        <v>7.8</v>
      </c>
      <c r="AC39" s="6">
        <v>255</v>
      </c>
      <c r="AD39" s="6">
        <f>AE39+AF39+AG39+AH39</f>
        <v>220</v>
      </c>
      <c r="AE39" s="6">
        <v>7</v>
      </c>
      <c r="AF39" s="6">
        <v>70</v>
      </c>
      <c r="AG39" s="6">
        <v>6</v>
      </c>
      <c r="AH39" s="6">
        <v>137</v>
      </c>
      <c r="AI39" s="1"/>
      <c r="AJ39" s="6" t="s">
        <v>32</v>
      </c>
      <c r="AK39" s="27"/>
      <c r="AL39" s="6"/>
      <c r="AM39" s="6">
        <f>AN39+AO39+AP39+AQ39</f>
        <v>0</v>
      </c>
      <c r="AN39" s="6"/>
      <c r="AO39" s="6"/>
      <c r="AP39" s="6"/>
      <c r="AQ39" s="6"/>
      <c r="AZ39" s="1"/>
      <c r="BA39" s="114"/>
      <c r="BB39" s="1"/>
      <c r="BC39" s="1"/>
      <c r="BD39" s="1"/>
      <c r="BE39" s="1"/>
      <c r="BF39" s="1"/>
      <c r="BG39" s="1"/>
    </row>
    <row r="40" spans="1:59">
      <c r="A40" s="6" t="s">
        <v>12</v>
      </c>
      <c r="B40" s="26">
        <f t="shared" ref="B40:H40" si="44">B39/B38*100</f>
        <v>67.279411764705884</v>
      </c>
      <c r="C40" s="26">
        <f t="shared" si="44"/>
        <v>108.28010948905109</v>
      </c>
      <c r="D40" s="26">
        <f t="shared" si="44"/>
        <v>110.13976431899151</v>
      </c>
      <c r="E40" s="26">
        <f t="shared" si="44"/>
        <v>1480</v>
      </c>
      <c r="F40" s="26">
        <f t="shared" si="44"/>
        <v>33.764832793959009</v>
      </c>
      <c r="G40" s="26">
        <f t="shared" si="44"/>
        <v>38.444924406047512</v>
      </c>
      <c r="H40" s="26">
        <f t="shared" si="44"/>
        <v>132.31185218566921</v>
      </c>
      <c r="I40" s="201"/>
      <c r="J40" s="6" t="s">
        <v>12</v>
      </c>
      <c r="K40" s="26">
        <f t="shared" ref="K40:Q40" si="45">K39/K38*100</f>
        <v>72.65625</v>
      </c>
      <c r="L40" s="26">
        <f t="shared" si="45"/>
        <v>128.71060171919771</v>
      </c>
      <c r="M40" s="26">
        <f t="shared" si="45"/>
        <v>131.31697200138262</v>
      </c>
      <c r="N40" s="26">
        <f t="shared" si="45"/>
        <v>6500</v>
      </c>
      <c r="O40" s="26">
        <f t="shared" si="45"/>
        <v>39.193548387096769</v>
      </c>
      <c r="P40" s="26">
        <f t="shared" si="45"/>
        <v>38.392857142857146</v>
      </c>
      <c r="Q40" s="26">
        <f t="shared" si="45"/>
        <v>154.12995594713658</v>
      </c>
      <c r="R40" s="6" t="s">
        <v>12</v>
      </c>
      <c r="S40" s="26">
        <f t="shared" ref="S40:Y40" si="46">S39/S38*100</f>
        <v>41.269841269841272</v>
      </c>
      <c r="T40" s="26">
        <f t="shared" si="46"/>
        <v>29.789719626168225</v>
      </c>
      <c r="U40" s="26">
        <f t="shared" si="46"/>
        <v>30.386740331491712</v>
      </c>
      <c r="V40" s="26">
        <f t="shared" si="46"/>
        <v>22.58064516129032</v>
      </c>
      <c r="W40" s="26">
        <f t="shared" si="46"/>
        <v>23.809523809523807</v>
      </c>
      <c r="X40" s="26">
        <f t="shared" si="46"/>
        <v>40</v>
      </c>
      <c r="Y40" s="26">
        <f t="shared" si="46"/>
        <v>35.677083333333329</v>
      </c>
      <c r="Z40" s="113"/>
      <c r="AA40" s="6" t="s">
        <v>12</v>
      </c>
      <c r="AB40" s="26">
        <f t="shared" ref="AB40:AH40" si="47">AB39/AB38*100</f>
        <v>58.208955223880601</v>
      </c>
      <c r="AC40" s="26">
        <f t="shared" si="47"/>
        <v>42.713567839195981</v>
      </c>
      <c r="AD40" s="26">
        <f t="shared" si="47"/>
        <v>43.478260869565219</v>
      </c>
      <c r="AE40" s="26">
        <f t="shared" si="47"/>
        <v>28.000000000000004</v>
      </c>
      <c r="AF40" s="26">
        <f t="shared" si="47"/>
        <v>32.407407407407405</v>
      </c>
      <c r="AG40" s="26">
        <f t="shared" si="47"/>
        <v>150</v>
      </c>
      <c r="AH40" s="26">
        <f t="shared" si="47"/>
        <v>52.290076335877863</v>
      </c>
      <c r="AI40" s="113"/>
      <c r="AJ40" s="6" t="s">
        <v>12</v>
      </c>
      <c r="AK40" s="26">
        <f>AK39/AK38*100</f>
        <v>0</v>
      </c>
      <c r="AL40" s="26">
        <f>AL39/AL38*100</f>
        <v>0</v>
      </c>
      <c r="AM40" s="26">
        <f>AM39/AM38*100</f>
        <v>0</v>
      </c>
      <c r="AN40" s="26">
        <v>0</v>
      </c>
      <c r="AO40" s="26">
        <f>AO39/AO38*100</f>
        <v>0</v>
      </c>
      <c r="AP40" s="26" t="e">
        <f>AP39/AP38*100</f>
        <v>#DIV/0!</v>
      </c>
      <c r="AQ40" s="26">
        <f>AQ39/AQ38*100</f>
        <v>0</v>
      </c>
      <c r="AZ40" s="1"/>
      <c r="BA40" s="113"/>
      <c r="BB40" s="113"/>
      <c r="BC40" s="113"/>
      <c r="BD40" s="113"/>
      <c r="BE40" s="113"/>
      <c r="BF40" s="113"/>
      <c r="BG40" s="113"/>
    </row>
    <row r="41" spans="1:59">
      <c r="A41" s="1"/>
      <c r="B41" s="113"/>
      <c r="C41" s="113"/>
      <c r="D41" s="113"/>
      <c r="E41" s="113"/>
      <c r="F41" s="113"/>
      <c r="G41" s="113"/>
      <c r="H41" s="113"/>
      <c r="J41" s="1"/>
      <c r="K41" s="113"/>
      <c r="L41" s="113"/>
      <c r="M41" s="113"/>
      <c r="N41" s="113"/>
      <c r="O41" s="113"/>
      <c r="P41" s="113"/>
      <c r="Q41" s="113"/>
      <c r="R41" s="1"/>
      <c r="S41" s="113"/>
      <c r="T41" s="113"/>
      <c r="U41" s="113"/>
      <c r="V41" s="113"/>
      <c r="W41" s="113"/>
      <c r="X41" s="113"/>
      <c r="Y41" s="113"/>
      <c r="Z41" s="113"/>
      <c r="AA41" s="1"/>
      <c r="AB41" s="113"/>
      <c r="AC41" s="113"/>
      <c r="AD41" s="113"/>
      <c r="AE41" s="113"/>
      <c r="AF41" s="113"/>
      <c r="AG41" s="113"/>
      <c r="AH41" s="113"/>
      <c r="AI41" s="113"/>
      <c r="AJ41" s="1"/>
      <c r="AK41" s="113"/>
      <c r="AL41" s="113"/>
      <c r="AM41" s="113"/>
      <c r="AN41" s="113"/>
      <c r="AO41" s="113"/>
      <c r="AP41" s="113"/>
      <c r="AQ41" s="113"/>
      <c r="AZ41" s="1"/>
      <c r="BA41" s="113"/>
      <c r="BB41" s="113"/>
      <c r="BC41" s="113"/>
      <c r="BD41" s="113"/>
      <c r="BE41" s="113"/>
      <c r="BF41" s="113"/>
      <c r="BG41" s="113"/>
    </row>
    <row r="42" spans="1:59" ht="15.6">
      <c r="A42" s="12" t="s">
        <v>49</v>
      </c>
      <c r="B42" s="13"/>
      <c r="C42" s="13"/>
      <c r="D42" s="13"/>
      <c r="E42" s="13"/>
      <c r="F42" s="13"/>
      <c r="G42" s="13"/>
      <c r="H42" s="13"/>
      <c r="J42" s="1"/>
      <c r="K42" s="113"/>
      <c r="L42" s="113"/>
      <c r="M42" s="113"/>
      <c r="N42" s="113"/>
      <c r="O42" s="113"/>
      <c r="P42" s="113"/>
      <c r="Q42" s="113"/>
      <c r="R42" s="1"/>
      <c r="S42" s="113"/>
      <c r="T42" s="113"/>
      <c r="U42" s="113"/>
      <c r="V42" s="113"/>
      <c r="W42" s="113"/>
      <c r="X42" s="113"/>
      <c r="Y42" s="113"/>
      <c r="Z42" s="113"/>
      <c r="AA42" s="1"/>
      <c r="AB42" s="113"/>
      <c r="AC42" s="113"/>
      <c r="AD42" s="113"/>
      <c r="AE42" s="113"/>
      <c r="AF42" s="113"/>
      <c r="AG42" s="113"/>
      <c r="AH42" s="113"/>
      <c r="AI42" s="113"/>
      <c r="AJ42" s="1"/>
      <c r="AK42" s="113"/>
      <c r="AL42" s="113"/>
      <c r="AM42" s="475" t="s">
        <v>72</v>
      </c>
      <c r="AN42" s="475"/>
      <c r="AO42" s="475"/>
      <c r="AP42" s="475"/>
      <c r="AQ42" s="475"/>
      <c r="AZ42" s="1"/>
      <c r="BA42" s="113"/>
      <c r="BB42" s="113"/>
      <c r="BC42" s="113"/>
      <c r="BD42" s="113"/>
      <c r="BE42" s="113"/>
      <c r="BF42" s="113"/>
      <c r="BG42" s="113"/>
    </row>
    <row r="43" spans="1:59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  <c r="J43" s="1"/>
      <c r="K43" s="113"/>
      <c r="L43" s="113"/>
      <c r="M43" s="113"/>
      <c r="N43" s="113"/>
      <c r="O43" s="113"/>
      <c r="P43" s="113"/>
      <c r="Q43" s="113"/>
      <c r="R43" s="1"/>
      <c r="S43" s="113"/>
      <c r="T43" s="113"/>
      <c r="U43" s="113"/>
      <c r="V43" s="113"/>
      <c r="W43" s="113"/>
      <c r="X43" s="113"/>
      <c r="Y43" s="113"/>
      <c r="Z43" s="113"/>
      <c r="AA43" s="1"/>
      <c r="AB43" s="113"/>
      <c r="AC43" s="113"/>
      <c r="AD43" s="113"/>
      <c r="AE43" s="113"/>
      <c r="AF43" s="113"/>
      <c r="AG43" s="113"/>
      <c r="AH43" s="113"/>
      <c r="AI43" s="113"/>
      <c r="AJ43" s="1"/>
      <c r="AK43" s="113"/>
      <c r="AL43" s="113"/>
      <c r="AM43" s="475" t="s">
        <v>73</v>
      </c>
      <c r="AN43" s="475"/>
      <c r="AO43" s="475"/>
      <c r="AP43" s="475"/>
      <c r="AQ43" s="475"/>
      <c r="AZ43" s="1"/>
      <c r="BA43" s="113"/>
      <c r="BB43" s="113"/>
      <c r="BC43" s="113"/>
      <c r="BD43" s="113"/>
      <c r="BE43" s="113"/>
      <c r="BF43" s="113"/>
      <c r="BG43" s="113"/>
    </row>
    <row r="44" spans="1:59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59">
      <c r="A45" s="81" t="s">
        <v>17</v>
      </c>
      <c r="B45" s="190"/>
      <c r="C45" s="191"/>
      <c r="D45" s="190"/>
      <c r="E45" s="190"/>
      <c r="F45" s="190"/>
      <c r="G45" s="190"/>
      <c r="H45" s="192"/>
      <c r="AM45" s="475"/>
      <c r="AN45" s="475"/>
      <c r="AO45" s="475"/>
      <c r="AP45" s="475"/>
      <c r="AQ45" s="475"/>
      <c r="BC45" s="475"/>
      <c r="BD45" s="475"/>
      <c r="BE45" s="475"/>
      <c r="BF45" s="475"/>
      <c r="BG45" s="475"/>
    </row>
    <row r="46" spans="1:59">
      <c r="A46" s="82" t="s">
        <v>40</v>
      </c>
      <c r="B46" s="83">
        <f t="shared" ref="B46:H47" si="48">K9+S9+AK9</f>
        <v>682.99999999999989</v>
      </c>
      <c r="C46" s="83">
        <f t="shared" si="48"/>
        <v>37286</v>
      </c>
      <c r="D46" s="83">
        <f t="shared" si="48"/>
        <v>30742</v>
      </c>
      <c r="E46" s="83">
        <f t="shared" si="48"/>
        <v>6669</v>
      </c>
      <c r="F46" s="83">
        <f t="shared" si="48"/>
        <v>6129</v>
      </c>
      <c r="G46" s="83">
        <f t="shared" si="48"/>
        <v>1780</v>
      </c>
      <c r="H46" s="83">
        <f t="shared" si="48"/>
        <v>16164</v>
      </c>
      <c r="AM46" s="475"/>
      <c r="AN46" s="475"/>
      <c r="AO46" s="475"/>
      <c r="AP46" s="475"/>
      <c r="AQ46" s="475"/>
      <c r="BC46" s="475"/>
      <c r="BD46" s="475"/>
      <c r="BE46" s="475"/>
      <c r="BF46" s="475"/>
      <c r="BG46" s="475"/>
    </row>
    <row r="47" spans="1:59">
      <c r="A47" s="84" t="s">
        <v>50</v>
      </c>
      <c r="B47" s="83">
        <f>K10+S10+AK10</f>
        <v>487.40000000000003</v>
      </c>
      <c r="C47" s="83">
        <f>L10+T10+AL10</f>
        <v>26050</v>
      </c>
      <c r="D47" s="83">
        <f t="shared" si="48"/>
        <v>22203</v>
      </c>
      <c r="E47" s="83">
        <f t="shared" si="48"/>
        <v>7204</v>
      </c>
      <c r="F47" s="83">
        <f t="shared" si="48"/>
        <v>2420</v>
      </c>
      <c r="G47" s="83">
        <f t="shared" si="48"/>
        <v>374</v>
      </c>
      <c r="H47" s="83">
        <f t="shared" si="48"/>
        <v>12205</v>
      </c>
    </row>
    <row r="48" spans="1:59">
      <c r="A48" s="85" t="s">
        <v>44</v>
      </c>
      <c r="B48" s="86">
        <f>B47/B46*100</f>
        <v>71.361639824304561</v>
      </c>
      <c r="C48" s="86">
        <f t="shared" ref="C48:H48" si="49">C47/C46*100</f>
        <v>69.86536501636003</v>
      </c>
      <c r="D48" s="86">
        <f t="shared" si="49"/>
        <v>72.223667946132338</v>
      </c>
      <c r="E48" s="86">
        <f t="shared" si="49"/>
        <v>108.02219223271854</v>
      </c>
      <c r="F48" s="86">
        <f t="shared" si="49"/>
        <v>39.484418339043891</v>
      </c>
      <c r="G48" s="86">
        <f t="shared" si="49"/>
        <v>21.011235955056179</v>
      </c>
      <c r="H48" s="86">
        <f t="shared" si="49"/>
        <v>75.507300173224451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0">K13+S13+AK13</f>
        <v>116.9</v>
      </c>
      <c r="C50" s="90">
        <f t="shared" si="50"/>
        <v>7602</v>
      </c>
      <c r="D50" s="90">
        <f t="shared" si="50"/>
        <v>5836</v>
      </c>
      <c r="E50" s="90">
        <f t="shared" si="50"/>
        <v>1558</v>
      </c>
      <c r="F50" s="90">
        <f t="shared" si="50"/>
        <v>2131</v>
      </c>
      <c r="G50" s="90">
        <f t="shared" si="50"/>
        <v>685</v>
      </c>
      <c r="H50" s="90">
        <f t="shared" si="50"/>
        <v>1462</v>
      </c>
    </row>
    <row r="51" spans="1:8">
      <c r="A51" s="75" t="s">
        <v>50</v>
      </c>
      <c r="B51" s="90">
        <f t="shared" si="50"/>
        <v>148.4</v>
      </c>
      <c r="C51" s="90">
        <f t="shared" si="50"/>
        <v>11059</v>
      </c>
      <c r="D51" s="90">
        <f t="shared" si="50"/>
        <v>9028</v>
      </c>
      <c r="E51" s="90">
        <f t="shared" si="50"/>
        <v>4954</v>
      </c>
      <c r="F51" s="90">
        <f t="shared" si="50"/>
        <v>1330</v>
      </c>
      <c r="G51" s="90">
        <f t="shared" si="50"/>
        <v>64</v>
      </c>
      <c r="H51" s="90">
        <f t="shared" si="50"/>
        <v>2680</v>
      </c>
    </row>
    <row r="52" spans="1:8">
      <c r="A52" s="75" t="s">
        <v>44</v>
      </c>
      <c r="B52" s="91">
        <f t="shared" ref="B52:H52" si="51">B51/B50*100</f>
        <v>126.94610778443113</v>
      </c>
      <c r="C52" s="91">
        <f t="shared" si="51"/>
        <v>145.47487503288608</v>
      </c>
      <c r="D52" s="91">
        <f t="shared" si="51"/>
        <v>154.69499657299519</v>
      </c>
      <c r="E52" s="91">
        <f t="shared" si="51"/>
        <v>317.97175866495508</v>
      </c>
      <c r="F52" s="91">
        <f t="shared" si="51"/>
        <v>62.41201313937119</v>
      </c>
      <c r="G52" s="91">
        <f t="shared" si="51"/>
        <v>9.3430656934306562</v>
      </c>
      <c r="H52" s="91">
        <f t="shared" si="51"/>
        <v>183.31053351573189</v>
      </c>
    </row>
    <row r="53" spans="1:8">
      <c r="A53" s="75" t="s">
        <v>13</v>
      </c>
      <c r="B53" s="90">
        <f t="shared" ref="B53:H55" si="52">K16+S16+AK16</f>
        <v>80.2</v>
      </c>
      <c r="C53" s="90">
        <f t="shared" si="52"/>
        <v>6886</v>
      </c>
      <c r="D53" s="90">
        <f t="shared" si="52"/>
        <v>5635</v>
      </c>
      <c r="E53" s="90">
        <f t="shared" si="52"/>
        <v>3308</v>
      </c>
      <c r="F53" s="90">
        <f t="shared" si="52"/>
        <v>848</v>
      </c>
      <c r="G53" s="90">
        <f t="shared" si="52"/>
        <v>55</v>
      </c>
      <c r="H53" s="90">
        <f t="shared" si="52"/>
        <v>1424</v>
      </c>
    </row>
    <row r="54" spans="1:8">
      <c r="A54" s="92" t="s">
        <v>14</v>
      </c>
      <c r="B54" s="90">
        <f t="shared" si="52"/>
        <v>0</v>
      </c>
      <c r="C54" s="90">
        <f t="shared" si="52"/>
        <v>0</v>
      </c>
      <c r="D54" s="90">
        <f t="shared" si="52"/>
        <v>0</v>
      </c>
      <c r="E54" s="90">
        <f t="shared" si="52"/>
        <v>0</v>
      </c>
      <c r="F54" s="90">
        <f t="shared" si="52"/>
        <v>0</v>
      </c>
      <c r="G54" s="90">
        <f t="shared" si="52"/>
        <v>0</v>
      </c>
      <c r="H54" s="90">
        <f t="shared" si="52"/>
        <v>0</v>
      </c>
    </row>
    <row r="55" spans="1:8">
      <c r="A55" s="75" t="s">
        <v>15</v>
      </c>
      <c r="B55" s="90">
        <f t="shared" si="52"/>
        <v>3.1</v>
      </c>
      <c r="C55" s="90">
        <f t="shared" si="52"/>
        <v>268</v>
      </c>
      <c r="D55" s="90">
        <f t="shared" si="52"/>
        <v>219</v>
      </c>
      <c r="E55" s="90">
        <f t="shared" si="52"/>
        <v>178</v>
      </c>
      <c r="F55" s="90">
        <f t="shared" si="52"/>
        <v>13</v>
      </c>
      <c r="G55" s="90">
        <f t="shared" si="52"/>
        <v>0</v>
      </c>
      <c r="H55" s="90">
        <f t="shared" si="52"/>
        <v>28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3">K20+S20+AK20</f>
        <v>566.09999999999991</v>
      </c>
      <c r="C57" s="90">
        <f t="shared" si="53"/>
        <v>29684</v>
      </c>
      <c r="D57" s="90">
        <f t="shared" si="53"/>
        <v>24906</v>
      </c>
      <c r="E57" s="90">
        <f t="shared" si="53"/>
        <v>5111</v>
      </c>
      <c r="F57" s="90">
        <f t="shared" si="53"/>
        <v>3998</v>
      </c>
      <c r="G57" s="90">
        <f t="shared" si="53"/>
        <v>1095</v>
      </c>
      <c r="H57" s="90">
        <f t="shared" si="53"/>
        <v>14702</v>
      </c>
    </row>
    <row r="58" spans="1:8">
      <c r="A58" s="92" t="s">
        <v>50</v>
      </c>
      <c r="B58" s="90">
        <f t="shared" si="53"/>
        <v>339.00000000000006</v>
      </c>
      <c r="C58" s="90">
        <f t="shared" si="53"/>
        <v>14991</v>
      </c>
      <c r="D58" s="90">
        <f t="shared" si="53"/>
        <v>13175</v>
      </c>
      <c r="E58" s="90">
        <f t="shared" si="53"/>
        <v>2250</v>
      </c>
      <c r="F58" s="90">
        <f t="shared" si="53"/>
        <v>1090</v>
      </c>
      <c r="G58" s="90">
        <f t="shared" si="53"/>
        <v>310</v>
      </c>
      <c r="H58" s="90">
        <f t="shared" si="53"/>
        <v>9525</v>
      </c>
    </row>
    <row r="59" spans="1:8">
      <c r="A59" s="75" t="s">
        <v>44</v>
      </c>
      <c r="B59" s="91">
        <f t="shared" ref="B59:H59" si="54">B58/B57*100</f>
        <v>59.883412824589314</v>
      </c>
      <c r="C59" s="91">
        <f t="shared" si="54"/>
        <v>50.501953914566769</v>
      </c>
      <c r="D59" s="91">
        <f t="shared" si="54"/>
        <v>52.898899863486712</v>
      </c>
      <c r="E59" s="91">
        <f t="shared" si="54"/>
        <v>44.022696145568382</v>
      </c>
      <c r="F59" s="91">
        <f t="shared" si="54"/>
        <v>27.263631815907953</v>
      </c>
      <c r="G59" s="91">
        <f t="shared" si="54"/>
        <v>28.31050228310502</v>
      </c>
      <c r="H59" s="91">
        <f t="shared" si="54"/>
        <v>64.78710379540199</v>
      </c>
    </row>
    <row r="60" spans="1:8">
      <c r="A60" s="75" t="s">
        <v>21</v>
      </c>
      <c r="B60" s="90">
        <f t="shared" ref="B60:H61" si="55">K23+S23+AK23</f>
        <v>352.3</v>
      </c>
      <c r="C60" s="90">
        <f t="shared" si="55"/>
        <v>22066</v>
      </c>
      <c r="D60" s="90">
        <f t="shared" si="55"/>
        <v>18462</v>
      </c>
      <c r="E60" s="90">
        <f t="shared" si="55"/>
        <v>4973</v>
      </c>
      <c r="F60" s="90">
        <f t="shared" si="55"/>
        <v>2371</v>
      </c>
      <c r="G60" s="90">
        <f t="shared" si="55"/>
        <v>346</v>
      </c>
      <c r="H60" s="90">
        <f t="shared" si="55"/>
        <v>10772</v>
      </c>
    </row>
    <row r="61" spans="1:8">
      <c r="A61" s="75" t="s">
        <v>51</v>
      </c>
      <c r="B61" s="90">
        <f t="shared" si="55"/>
        <v>211.8</v>
      </c>
      <c r="C61" s="90">
        <f t="shared" si="55"/>
        <v>9177</v>
      </c>
      <c r="D61" s="90">
        <f t="shared" si="55"/>
        <v>8184</v>
      </c>
      <c r="E61" s="90">
        <f t="shared" si="55"/>
        <v>1405</v>
      </c>
      <c r="F61" s="90">
        <f t="shared" si="55"/>
        <v>673</v>
      </c>
      <c r="G61" s="90">
        <f t="shared" si="55"/>
        <v>87</v>
      </c>
      <c r="H61" s="90">
        <f t="shared" si="55"/>
        <v>6019</v>
      </c>
    </row>
    <row r="62" spans="1:8">
      <c r="A62" s="75" t="s">
        <v>12</v>
      </c>
      <c r="B62" s="91">
        <f t="shared" ref="B62:H62" si="56">B61/B60*100</f>
        <v>60.119216576781156</v>
      </c>
      <c r="C62" s="91">
        <f t="shared" si="56"/>
        <v>41.588869754373242</v>
      </c>
      <c r="D62" s="91">
        <f t="shared" si="56"/>
        <v>44.328891777705557</v>
      </c>
      <c r="E62" s="91">
        <f t="shared" si="56"/>
        <v>28.252563844761713</v>
      </c>
      <c r="F62" s="91">
        <f t="shared" si="56"/>
        <v>28.384647827920706</v>
      </c>
      <c r="G62" s="91">
        <f t="shared" si="56"/>
        <v>25.144508670520231</v>
      </c>
      <c r="H62" s="91">
        <f t="shared" si="56"/>
        <v>55.876346082435944</v>
      </c>
    </row>
    <row r="63" spans="1:8">
      <c r="A63" s="75" t="s">
        <v>23</v>
      </c>
      <c r="B63" s="90">
        <f t="shared" ref="B63:H64" si="57">K26+S26+AK26</f>
        <v>49.300000000000004</v>
      </c>
      <c r="C63" s="90">
        <f t="shared" si="57"/>
        <v>1416</v>
      </c>
      <c r="D63" s="90">
        <f t="shared" si="57"/>
        <v>1218</v>
      </c>
      <c r="E63" s="90">
        <f t="shared" si="57"/>
        <v>85</v>
      </c>
      <c r="F63" s="90">
        <f t="shared" si="57"/>
        <v>286</v>
      </c>
      <c r="G63" s="90">
        <f t="shared" si="57"/>
        <v>28</v>
      </c>
      <c r="H63" s="90">
        <f t="shared" si="57"/>
        <v>819</v>
      </c>
    </row>
    <row r="64" spans="1:8">
      <c r="A64" s="75" t="s">
        <v>45</v>
      </c>
      <c r="B64" s="90">
        <f t="shared" si="57"/>
        <v>28.900000000000002</v>
      </c>
      <c r="C64" s="90">
        <f t="shared" si="57"/>
        <v>724</v>
      </c>
      <c r="D64" s="90">
        <f t="shared" si="57"/>
        <v>666</v>
      </c>
      <c r="E64" s="90">
        <f t="shared" si="57"/>
        <v>246</v>
      </c>
      <c r="F64" s="90">
        <f t="shared" si="57"/>
        <v>34</v>
      </c>
      <c r="G64" s="90">
        <f t="shared" si="57"/>
        <v>5</v>
      </c>
      <c r="H64" s="90">
        <f t="shared" si="57"/>
        <v>381</v>
      </c>
    </row>
    <row r="65" spans="1:8">
      <c r="A65" s="75" t="s">
        <v>12</v>
      </c>
      <c r="B65" s="91">
        <f t="shared" ref="B65:H65" si="58">B64/B63*100</f>
        <v>58.620689655172406</v>
      </c>
      <c r="C65" s="91">
        <f t="shared" si="58"/>
        <v>51.129943502824858</v>
      </c>
      <c r="D65" s="91">
        <f t="shared" si="58"/>
        <v>54.679802955665025</v>
      </c>
      <c r="E65" s="91">
        <f t="shared" si="58"/>
        <v>289.41176470588232</v>
      </c>
      <c r="F65" s="91">
        <f t="shared" si="58"/>
        <v>11.888111888111888</v>
      </c>
      <c r="G65" s="91">
        <f t="shared" si="58"/>
        <v>17.857142857142858</v>
      </c>
      <c r="H65" s="91">
        <f t="shared" si="58"/>
        <v>46.520146520146518</v>
      </c>
    </row>
    <row r="66" spans="1:8">
      <c r="A66" s="75" t="s">
        <v>25</v>
      </c>
      <c r="B66" s="90">
        <f t="shared" ref="B66:H67" si="59">K29+S29+AK29</f>
        <v>7.2000000000000011</v>
      </c>
      <c r="C66" s="90">
        <f t="shared" si="59"/>
        <v>231</v>
      </c>
      <c r="D66" s="90">
        <f t="shared" si="59"/>
        <v>195</v>
      </c>
      <c r="E66" s="90">
        <f t="shared" si="59"/>
        <v>13</v>
      </c>
      <c r="F66" s="90">
        <f t="shared" si="59"/>
        <v>49</v>
      </c>
      <c r="G66" s="90">
        <f t="shared" si="59"/>
        <v>4</v>
      </c>
      <c r="H66" s="90">
        <f t="shared" si="59"/>
        <v>129</v>
      </c>
    </row>
    <row r="67" spans="1:8">
      <c r="A67" s="75" t="s">
        <v>46</v>
      </c>
      <c r="B67" s="90">
        <f t="shared" si="59"/>
        <v>2.8</v>
      </c>
      <c r="C67" s="90">
        <f t="shared" si="59"/>
        <v>113</v>
      </c>
      <c r="D67" s="90">
        <f t="shared" si="59"/>
        <v>101</v>
      </c>
      <c r="E67" s="90">
        <f t="shared" si="59"/>
        <v>7</v>
      </c>
      <c r="F67" s="90">
        <f t="shared" si="59"/>
        <v>15</v>
      </c>
      <c r="G67" s="90">
        <f t="shared" si="59"/>
        <v>5</v>
      </c>
      <c r="H67" s="90">
        <f t="shared" si="59"/>
        <v>74</v>
      </c>
    </row>
    <row r="68" spans="1:8">
      <c r="A68" s="75" t="s">
        <v>12</v>
      </c>
      <c r="B68" s="91">
        <f t="shared" ref="B68:H68" si="60">B67/B66*100</f>
        <v>38.888888888888879</v>
      </c>
      <c r="C68" s="91">
        <f t="shared" si="60"/>
        <v>48.917748917748916</v>
      </c>
      <c r="D68" s="91">
        <f t="shared" si="60"/>
        <v>51.794871794871803</v>
      </c>
      <c r="E68" s="91">
        <f t="shared" si="60"/>
        <v>53.846153846153847</v>
      </c>
      <c r="F68" s="91">
        <f t="shared" si="60"/>
        <v>30.612244897959183</v>
      </c>
      <c r="G68" s="91">
        <f t="shared" si="60"/>
        <v>125</v>
      </c>
      <c r="H68" s="91">
        <f t="shared" si="60"/>
        <v>57.36434108527132</v>
      </c>
    </row>
    <row r="69" spans="1:8">
      <c r="A69" s="75" t="s">
        <v>27</v>
      </c>
      <c r="B69" s="90">
        <f t="shared" ref="B69:H70" si="61">K32+S32+AK32</f>
        <v>0</v>
      </c>
      <c r="C69" s="90">
        <f t="shared" si="61"/>
        <v>0</v>
      </c>
      <c r="D69" s="90">
        <f t="shared" si="61"/>
        <v>0</v>
      </c>
      <c r="E69" s="90">
        <f t="shared" si="61"/>
        <v>0</v>
      </c>
      <c r="F69" s="90">
        <f t="shared" si="61"/>
        <v>0</v>
      </c>
      <c r="G69" s="90">
        <f t="shared" si="61"/>
        <v>0</v>
      </c>
      <c r="H69" s="90">
        <f t="shared" si="61"/>
        <v>0</v>
      </c>
    </row>
    <row r="70" spans="1:8">
      <c r="A70" s="75" t="s">
        <v>47</v>
      </c>
      <c r="B70" s="90">
        <f t="shared" si="61"/>
        <v>0</v>
      </c>
      <c r="C70" s="90">
        <f t="shared" si="61"/>
        <v>0</v>
      </c>
      <c r="D70" s="90">
        <f t="shared" si="61"/>
        <v>0</v>
      </c>
      <c r="E70" s="90">
        <f t="shared" si="61"/>
        <v>0</v>
      </c>
      <c r="F70" s="90">
        <f t="shared" si="61"/>
        <v>0</v>
      </c>
      <c r="G70" s="90">
        <f t="shared" si="61"/>
        <v>0</v>
      </c>
      <c r="H70" s="90">
        <f t="shared" si="61"/>
        <v>0</v>
      </c>
    </row>
    <row r="71" spans="1:8">
      <c r="A71" s="75" t="s">
        <v>12</v>
      </c>
      <c r="B71" s="91" t="e">
        <f t="shared" ref="B71:H71" si="62">B70/B69*100</f>
        <v>#DIV/0!</v>
      </c>
      <c r="C71" s="91" t="e">
        <f t="shared" si="62"/>
        <v>#DIV/0!</v>
      </c>
      <c r="D71" s="91" t="e">
        <f t="shared" si="62"/>
        <v>#DIV/0!</v>
      </c>
      <c r="E71" s="91" t="e">
        <f t="shared" si="62"/>
        <v>#DIV/0!</v>
      </c>
      <c r="F71" s="91" t="e">
        <f t="shared" si="62"/>
        <v>#DIV/0!</v>
      </c>
      <c r="G71" s="91" t="e">
        <f t="shared" si="62"/>
        <v>#DIV/0!</v>
      </c>
      <c r="H71" s="91" t="e">
        <f t="shared" si="62"/>
        <v>#DIV/0!</v>
      </c>
    </row>
    <row r="72" spans="1:8">
      <c r="A72" s="75" t="s">
        <v>29</v>
      </c>
      <c r="B72" s="90">
        <f t="shared" ref="B72:H73" si="63">K35+S35+AK35</f>
        <v>21.3</v>
      </c>
      <c r="C72" s="90">
        <f t="shared" si="63"/>
        <v>1587</v>
      </c>
      <c r="D72" s="90">
        <f t="shared" si="63"/>
        <v>1382</v>
      </c>
      <c r="E72" s="90">
        <f t="shared" si="63"/>
        <v>0</v>
      </c>
      <c r="F72" s="90">
        <f t="shared" si="63"/>
        <v>365</v>
      </c>
      <c r="G72" s="90">
        <f t="shared" si="63"/>
        <v>254</v>
      </c>
      <c r="H72" s="90">
        <f t="shared" si="63"/>
        <v>763</v>
      </c>
    </row>
    <row r="73" spans="1:8">
      <c r="A73" s="75" t="s">
        <v>48</v>
      </c>
      <c r="B73" s="90">
        <f t="shared" si="63"/>
        <v>4</v>
      </c>
      <c r="C73" s="90">
        <f t="shared" si="63"/>
        <v>230</v>
      </c>
      <c r="D73" s="90">
        <f t="shared" si="63"/>
        <v>205</v>
      </c>
      <c r="E73" s="90">
        <f t="shared" si="63"/>
        <v>0</v>
      </c>
      <c r="F73" s="90">
        <f t="shared" si="63"/>
        <v>55</v>
      </c>
      <c r="G73" s="90">
        <f t="shared" si="63"/>
        <v>35</v>
      </c>
      <c r="H73" s="90">
        <f t="shared" si="63"/>
        <v>115</v>
      </c>
    </row>
    <row r="74" spans="1:8">
      <c r="A74" s="75" t="s">
        <v>12</v>
      </c>
      <c r="B74" s="91">
        <f t="shared" ref="B74:H74" si="64">B73/B72*100</f>
        <v>18.779342723004692</v>
      </c>
      <c r="C74" s="91">
        <f t="shared" si="64"/>
        <v>14.492753623188406</v>
      </c>
      <c r="D74" s="91">
        <f t="shared" si="64"/>
        <v>14.833574529667148</v>
      </c>
      <c r="E74" s="91" t="e">
        <f t="shared" si="64"/>
        <v>#DIV/0!</v>
      </c>
      <c r="F74" s="91">
        <f t="shared" si="64"/>
        <v>15.068493150684931</v>
      </c>
      <c r="G74" s="91">
        <f t="shared" si="64"/>
        <v>13.779527559055119</v>
      </c>
      <c r="H74" s="91">
        <f t="shared" si="64"/>
        <v>15.072083879423328</v>
      </c>
    </row>
    <row r="75" spans="1:8">
      <c r="A75" s="75" t="s">
        <v>31</v>
      </c>
      <c r="B75" s="90">
        <f t="shared" ref="B75:H76" si="65">K38+S38+AK38</f>
        <v>136</v>
      </c>
      <c r="C75" s="90">
        <f t="shared" si="65"/>
        <v>4384</v>
      </c>
      <c r="D75" s="90">
        <f t="shared" si="65"/>
        <v>3649</v>
      </c>
      <c r="E75" s="90">
        <f t="shared" si="65"/>
        <v>40</v>
      </c>
      <c r="F75" s="90">
        <f t="shared" si="65"/>
        <v>927</v>
      </c>
      <c r="G75" s="90">
        <f t="shared" si="65"/>
        <v>463</v>
      </c>
      <c r="H75" s="90">
        <f t="shared" si="65"/>
        <v>2219</v>
      </c>
    </row>
    <row r="76" spans="1:8">
      <c r="A76" s="75" t="s">
        <v>52</v>
      </c>
      <c r="B76" s="90">
        <f t="shared" si="65"/>
        <v>91.5</v>
      </c>
      <c r="C76" s="90">
        <f t="shared" si="65"/>
        <v>4747</v>
      </c>
      <c r="D76" s="90">
        <f t="shared" si="65"/>
        <v>4019</v>
      </c>
      <c r="E76" s="90">
        <f t="shared" si="65"/>
        <v>592</v>
      </c>
      <c r="F76" s="90">
        <f t="shared" si="65"/>
        <v>313</v>
      </c>
      <c r="G76" s="90">
        <f t="shared" si="65"/>
        <v>178</v>
      </c>
      <c r="H76" s="90">
        <f t="shared" si="65"/>
        <v>2936</v>
      </c>
    </row>
    <row r="77" spans="1:8">
      <c r="A77" s="75" t="s">
        <v>12</v>
      </c>
      <c r="B77" s="91">
        <f t="shared" ref="B77:H77" si="66">B76/B75*100</f>
        <v>67.279411764705884</v>
      </c>
      <c r="C77" s="91">
        <f t="shared" si="66"/>
        <v>108.28010948905109</v>
      </c>
      <c r="D77" s="91">
        <f t="shared" si="66"/>
        <v>110.13976431899151</v>
      </c>
      <c r="E77" s="91">
        <f t="shared" si="66"/>
        <v>1480</v>
      </c>
      <c r="F77" s="91">
        <f t="shared" si="66"/>
        <v>33.764832793959009</v>
      </c>
      <c r="G77" s="91">
        <f t="shared" si="66"/>
        <v>38.444924406047512</v>
      </c>
      <c r="H77" s="91">
        <f t="shared" si="66"/>
        <v>132.31185218566921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67">B9-B46</f>
        <v>0</v>
      </c>
      <c r="C83" s="83">
        <f t="shared" si="67"/>
        <v>0</v>
      </c>
      <c r="D83" s="83">
        <f t="shared" si="67"/>
        <v>0</v>
      </c>
      <c r="E83" s="83">
        <f t="shared" si="67"/>
        <v>0</v>
      </c>
      <c r="F83" s="83">
        <f t="shared" si="67"/>
        <v>0</v>
      </c>
      <c r="G83" s="83">
        <f t="shared" si="67"/>
        <v>0</v>
      </c>
      <c r="H83" s="83">
        <f t="shared" si="67"/>
        <v>0</v>
      </c>
    </row>
    <row r="84" spans="1:8">
      <c r="A84" s="84" t="s">
        <v>50</v>
      </c>
      <c r="B84" s="83">
        <f t="shared" si="67"/>
        <v>0</v>
      </c>
      <c r="C84" s="83">
        <f t="shared" si="67"/>
        <v>0</v>
      </c>
      <c r="D84" s="83">
        <f t="shared" si="67"/>
        <v>0</v>
      </c>
      <c r="E84" s="83">
        <f t="shared" si="67"/>
        <v>0</v>
      </c>
      <c r="F84" s="83">
        <f t="shared" si="67"/>
        <v>0</v>
      </c>
      <c r="G84" s="83">
        <f t="shared" si="67"/>
        <v>0</v>
      </c>
      <c r="H84" s="83">
        <f t="shared" si="67"/>
        <v>0</v>
      </c>
    </row>
    <row r="85" spans="1:8">
      <c r="A85" s="85" t="s">
        <v>44</v>
      </c>
      <c r="B85" s="83">
        <f t="shared" si="67"/>
        <v>0</v>
      </c>
      <c r="C85" s="83">
        <f t="shared" si="67"/>
        <v>0</v>
      </c>
      <c r="D85" s="83">
        <f t="shared" si="67"/>
        <v>0</v>
      </c>
      <c r="E85" s="83">
        <f t="shared" si="67"/>
        <v>0</v>
      </c>
      <c r="F85" s="83">
        <f t="shared" si="67"/>
        <v>0</v>
      </c>
      <c r="G85" s="83">
        <f t="shared" si="67"/>
        <v>0</v>
      </c>
      <c r="H85" s="83">
        <f t="shared" si="67"/>
        <v>0</v>
      </c>
    </row>
    <row r="86" spans="1:8">
      <c r="A86" s="87" t="s">
        <v>11</v>
      </c>
      <c r="B86" s="83">
        <f t="shared" si="67"/>
        <v>0</v>
      </c>
      <c r="C86" s="83">
        <f t="shared" si="67"/>
        <v>0</v>
      </c>
      <c r="D86" s="83">
        <f t="shared" si="67"/>
        <v>0</v>
      </c>
      <c r="E86" s="83">
        <f t="shared" si="67"/>
        <v>0</v>
      </c>
      <c r="F86" s="83">
        <f t="shared" si="67"/>
        <v>0</v>
      </c>
      <c r="G86" s="83">
        <f t="shared" si="67"/>
        <v>0</v>
      </c>
      <c r="H86" s="83">
        <f t="shared" si="67"/>
        <v>0</v>
      </c>
    </row>
    <row r="87" spans="1:8">
      <c r="A87" s="75" t="s">
        <v>40</v>
      </c>
      <c r="B87" s="83">
        <f t="shared" si="67"/>
        <v>0</v>
      </c>
      <c r="C87" s="83">
        <f t="shared" si="67"/>
        <v>0</v>
      </c>
      <c r="D87" s="83">
        <f t="shared" si="67"/>
        <v>0</v>
      </c>
      <c r="E87" s="83">
        <f t="shared" si="67"/>
        <v>0</v>
      </c>
      <c r="F87" s="83">
        <f t="shared" si="67"/>
        <v>0</v>
      </c>
      <c r="G87" s="83">
        <f t="shared" si="67"/>
        <v>0</v>
      </c>
      <c r="H87" s="83">
        <f t="shared" si="67"/>
        <v>0</v>
      </c>
    </row>
    <row r="88" spans="1:8">
      <c r="A88" s="75" t="s">
        <v>50</v>
      </c>
      <c r="B88" s="83">
        <f t="shared" si="67"/>
        <v>0</v>
      </c>
      <c r="C88" s="83">
        <f t="shared" si="67"/>
        <v>0</v>
      </c>
      <c r="D88" s="83">
        <f t="shared" si="67"/>
        <v>0</v>
      </c>
      <c r="E88" s="83">
        <f t="shared" si="67"/>
        <v>0</v>
      </c>
      <c r="F88" s="83">
        <f t="shared" si="67"/>
        <v>0</v>
      </c>
      <c r="G88" s="83">
        <f t="shared" si="67"/>
        <v>0</v>
      </c>
      <c r="H88" s="83">
        <f t="shared" si="67"/>
        <v>0</v>
      </c>
    </row>
    <row r="89" spans="1:8">
      <c r="A89" s="75" t="s">
        <v>44</v>
      </c>
      <c r="B89" s="83">
        <f t="shared" si="67"/>
        <v>0</v>
      </c>
      <c r="C89" s="83">
        <f t="shared" si="67"/>
        <v>0</v>
      </c>
      <c r="D89" s="83">
        <f t="shared" si="67"/>
        <v>0</v>
      </c>
      <c r="E89" s="83">
        <f t="shared" si="67"/>
        <v>0</v>
      </c>
      <c r="F89" s="83">
        <f t="shared" si="67"/>
        <v>0</v>
      </c>
      <c r="G89" s="83">
        <f t="shared" si="67"/>
        <v>0</v>
      </c>
      <c r="H89" s="83">
        <f t="shared" si="67"/>
        <v>0</v>
      </c>
    </row>
    <row r="90" spans="1:8">
      <c r="A90" s="75" t="s">
        <v>13</v>
      </c>
      <c r="B90" s="83">
        <f t="shared" si="67"/>
        <v>0</v>
      </c>
      <c r="C90" s="83">
        <f t="shared" si="67"/>
        <v>0</v>
      </c>
      <c r="D90" s="83">
        <f t="shared" si="67"/>
        <v>0</v>
      </c>
      <c r="E90" s="83">
        <f t="shared" si="67"/>
        <v>0</v>
      </c>
      <c r="F90" s="83">
        <f t="shared" si="67"/>
        <v>0</v>
      </c>
      <c r="G90" s="83">
        <f t="shared" si="67"/>
        <v>0</v>
      </c>
      <c r="H90" s="83">
        <f t="shared" si="67"/>
        <v>0</v>
      </c>
    </row>
    <row r="91" spans="1:8">
      <c r="A91" s="92" t="s">
        <v>14</v>
      </c>
      <c r="B91" s="83">
        <f t="shared" si="67"/>
        <v>0</v>
      </c>
      <c r="C91" s="83">
        <f t="shared" si="67"/>
        <v>0</v>
      </c>
      <c r="D91" s="83">
        <f t="shared" si="67"/>
        <v>0</v>
      </c>
      <c r="E91" s="83">
        <f t="shared" si="67"/>
        <v>0</v>
      </c>
      <c r="F91" s="83">
        <f t="shared" si="67"/>
        <v>0</v>
      </c>
      <c r="G91" s="83">
        <f t="shared" si="67"/>
        <v>0</v>
      </c>
      <c r="H91" s="83">
        <f t="shared" si="67"/>
        <v>0</v>
      </c>
    </row>
    <row r="92" spans="1:8">
      <c r="A92" s="75" t="s">
        <v>15</v>
      </c>
      <c r="B92" s="83">
        <f t="shared" si="67"/>
        <v>0</v>
      </c>
      <c r="C92" s="83">
        <f t="shared" si="67"/>
        <v>0</v>
      </c>
      <c r="D92" s="83">
        <f t="shared" si="67"/>
        <v>0</v>
      </c>
      <c r="E92" s="83">
        <f t="shared" si="67"/>
        <v>0</v>
      </c>
      <c r="F92" s="83">
        <f t="shared" si="67"/>
        <v>0</v>
      </c>
      <c r="G92" s="83">
        <f t="shared" si="67"/>
        <v>0</v>
      </c>
      <c r="H92" s="83">
        <f t="shared" si="67"/>
        <v>0</v>
      </c>
    </row>
    <row r="93" spans="1:8">
      <c r="A93" s="87" t="s">
        <v>16</v>
      </c>
      <c r="B93" s="83">
        <f t="shared" si="67"/>
        <v>0</v>
      </c>
      <c r="C93" s="83">
        <f t="shared" si="67"/>
        <v>0</v>
      </c>
      <c r="D93" s="83">
        <f t="shared" si="67"/>
        <v>0</v>
      </c>
      <c r="E93" s="83">
        <f t="shared" si="67"/>
        <v>0</v>
      </c>
      <c r="F93" s="83">
        <f t="shared" si="67"/>
        <v>0</v>
      </c>
      <c r="G93" s="83">
        <f t="shared" si="67"/>
        <v>0</v>
      </c>
      <c r="H93" s="83">
        <f t="shared" si="67"/>
        <v>0</v>
      </c>
    </row>
    <row r="94" spans="1:8">
      <c r="A94" s="75" t="s">
        <v>40</v>
      </c>
      <c r="B94" s="83">
        <f t="shared" si="67"/>
        <v>0</v>
      </c>
      <c r="C94" s="83">
        <f t="shared" si="67"/>
        <v>0</v>
      </c>
      <c r="D94" s="83">
        <f t="shared" si="67"/>
        <v>0</v>
      </c>
      <c r="E94" s="83">
        <f t="shared" si="67"/>
        <v>0</v>
      </c>
      <c r="F94" s="83">
        <f t="shared" si="67"/>
        <v>0</v>
      </c>
      <c r="G94" s="83">
        <f t="shared" si="67"/>
        <v>0</v>
      </c>
      <c r="H94" s="83">
        <f t="shared" si="67"/>
        <v>0</v>
      </c>
    </row>
    <row r="95" spans="1:8">
      <c r="A95" s="92" t="s">
        <v>50</v>
      </c>
      <c r="B95" s="83">
        <f t="shared" si="67"/>
        <v>0</v>
      </c>
      <c r="C95" s="83">
        <f t="shared" si="67"/>
        <v>0</v>
      </c>
      <c r="D95" s="83">
        <f t="shared" si="67"/>
        <v>0</v>
      </c>
      <c r="E95" s="83">
        <f t="shared" si="67"/>
        <v>0</v>
      </c>
      <c r="F95" s="83">
        <f t="shared" si="67"/>
        <v>0</v>
      </c>
      <c r="G95" s="83">
        <f t="shared" si="67"/>
        <v>0</v>
      </c>
      <c r="H95" s="83">
        <f t="shared" si="67"/>
        <v>0</v>
      </c>
    </row>
    <row r="96" spans="1:8">
      <c r="A96" s="75" t="s">
        <v>44</v>
      </c>
      <c r="B96" s="83">
        <f t="shared" si="67"/>
        <v>0</v>
      </c>
      <c r="C96" s="83">
        <f t="shared" si="67"/>
        <v>0</v>
      </c>
      <c r="D96" s="83">
        <f t="shared" si="67"/>
        <v>0</v>
      </c>
      <c r="E96" s="83">
        <f t="shared" si="67"/>
        <v>0</v>
      </c>
      <c r="F96" s="83">
        <f t="shared" si="67"/>
        <v>0</v>
      </c>
      <c r="G96" s="83">
        <f t="shared" si="67"/>
        <v>0</v>
      </c>
      <c r="H96" s="83">
        <f t="shared" si="67"/>
        <v>0</v>
      </c>
    </row>
    <row r="97" spans="1:8">
      <c r="A97" s="75" t="s">
        <v>21</v>
      </c>
      <c r="B97" s="83">
        <f t="shared" si="67"/>
        <v>0</v>
      </c>
      <c r="C97" s="83">
        <f t="shared" si="67"/>
        <v>0</v>
      </c>
      <c r="D97" s="83">
        <f t="shared" si="67"/>
        <v>0</v>
      </c>
      <c r="E97" s="83">
        <f t="shared" si="67"/>
        <v>0</v>
      </c>
      <c r="F97" s="83">
        <f t="shared" si="67"/>
        <v>0</v>
      </c>
      <c r="G97" s="83">
        <f t="shared" si="67"/>
        <v>0</v>
      </c>
      <c r="H97" s="83">
        <f t="shared" si="67"/>
        <v>0</v>
      </c>
    </row>
    <row r="98" spans="1:8">
      <c r="A98" s="75" t="s">
        <v>51</v>
      </c>
      <c r="B98" s="83">
        <f t="shared" si="67"/>
        <v>0</v>
      </c>
      <c r="C98" s="83">
        <f t="shared" si="67"/>
        <v>0</v>
      </c>
      <c r="D98" s="83">
        <f t="shared" si="67"/>
        <v>0</v>
      </c>
      <c r="E98" s="83">
        <f t="shared" si="67"/>
        <v>0</v>
      </c>
      <c r="F98" s="83">
        <f t="shared" si="67"/>
        <v>0</v>
      </c>
      <c r="G98" s="83">
        <f t="shared" si="67"/>
        <v>0</v>
      </c>
      <c r="H98" s="83">
        <f t="shared" si="67"/>
        <v>0</v>
      </c>
    </row>
    <row r="99" spans="1:8">
      <c r="A99" s="75" t="s">
        <v>12</v>
      </c>
      <c r="B99" s="83">
        <f t="shared" ref="B99:H114" si="68">B25-B62</f>
        <v>0</v>
      </c>
      <c r="C99" s="83">
        <f t="shared" si="68"/>
        <v>0</v>
      </c>
      <c r="D99" s="83">
        <f t="shared" si="68"/>
        <v>0</v>
      </c>
      <c r="E99" s="83">
        <f t="shared" si="68"/>
        <v>0</v>
      </c>
      <c r="F99" s="83">
        <f t="shared" si="68"/>
        <v>0</v>
      </c>
      <c r="G99" s="83">
        <f t="shared" si="68"/>
        <v>0</v>
      </c>
      <c r="H99" s="83">
        <f t="shared" si="68"/>
        <v>0</v>
      </c>
    </row>
    <row r="100" spans="1:8">
      <c r="A100" s="75" t="s">
        <v>23</v>
      </c>
      <c r="B100" s="83">
        <f t="shared" si="68"/>
        <v>0</v>
      </c>
      <c r="C100" s="83">
        <f t="shared" si="68"/>
        <v>0</v>
      </c>
      <c r="D100" s="83">
        <f t="shared" si="68"/>
        <v>0</v>
      </c>
      <c r="E100" s="83">
        <f t="shared" si="68"/>
        <v>0</v>
      </c>
      <c r="F100" s="83">
        <f t="shared" si="68"/>
        <v>0</v>
      </c>
      <c r="G100" s="83">
        <f t="shared" si="68"/>
        <v>0</v>
      </c>
      <c r="H100" s="83">
        <f t="shared" si="68"/>
        <v>0</v>
      </c>
    </row>
    <row r="101" spans="1:8">
      <c r="A101" s="75" t="s">
        <v>45</v>
      </c>
      <c r="B101" s="83">
        <f t="shared" si="68"/>
        <v>0</v>
      </c>
      <c r="C101" s="83">
        <f t="shared" si="68"/>
        <v>0</v>
      </c>
      <c r="D101" s="83">
        <f t="shared" si="68"/>
        <v>0</v>
      </c>
      <c r="E101" s="83">
        <f t="shared" si="68"/>
        <v>0</v>
      </c>
      <c r="F101" s="83">
        <f t="shared" si="68"/>
        <v>0</v>
      </c>
      <c r="G101" s="83">
        <f t="shared" si="68"/>
        <v>0</v>
      </c>
      <c r="H101" s="83">
        <f t="shared" si="68"/>
        <v>0</v>
      </c>
    </row>
    <row r="102" spans="1:8">
      <c r="A102" s="75" t="s">
        <v>12</v>
      </c>
      <c r="B102" s="83">
        <f t="shared" si="68"/>
        <v>0</v>
      </c>
      <c r="C102" s="83">
        <f t="shared" si="68"/>
        <v>0</v>
      </c>
      <c r="D102" s="83">
        <f t="shared" si="68"/>
        <v>0</v>
      </c>
      <c r="E102" s="83">
        <f t="shared" si="68"/>
        <v>0</v>
      </c>
      <c r="F102" s="83">
        <f t="shared" si="68"/>
        <v>0</v>
      </c>
      <c r="G102" s="83">
        <f t="shared" si="68"/>
        <v>0</v>
      </c>
      <c r="H102" s="83">
        <f t="shared" si="68"/>
        <v>0</v>
      </c>
    </row>
    <row r="103" spans="1:8">
      <c r="A103" s="75" t="s">
        <v>25</v>
      </c>
      <c r="B103" s="83">
        <f t="shared" si="68"/>
        <v>0</v>
      </c>
      <c r="C103" s="83">
        <f t="shared" si="68"/>
        <v>0</v>
      </c>
      <c r="D103" s="83">
        <f t="shared" si="68"/>
        <v>0</v>
      </c>
      <c r="E103" s="83">
        <f t="shared" si="68"/>
        <v>0</v>
      </c>
      <c r="F103" s="83">
        <f t="shared" si="68"/>
        <v>0</v>
      </c>
      <c r="G103" s="83">
        <f t="shared" si="68"/>
        <v>0</v>
      </c>
      <c r="H103" s="83">
        <f t="shared" si="68"/>
        <v>0</v>
      </c>
    </row>
    <row r="104" spans="1:8">
      <c r="A104" s="75" t="s">
        <v>46</v>
      </c>
      <c r="B104" s="83">
        <f t="shared" si="68"/>
        <v>0</v>
      </c>
      <c r="C104" s="83">
        <f t="shared" si="68"/>
        <v>0</v>
      </c>
      <c r="D104" s="83">
        <f t="shared" si="68"/>
        <v>0</v>
      </c>
      <c r="E104" s="83">
        <f t="shared" si="68"/>
        <v>0</v>
      </c>
      <c r="F104" s="83">
        <f t="shared" si="68"/>
        <v>0</v>
      </c>
      <c r="G104" s="83">
        <f t="shared" si="68"/>
        <v>0</v>
      </c>
      <c r="H104" s="83">
        <f t="shared" si="68"/>
        <v>0</v>
      </c>
    </row>
    <row r="105" spans="1:8">
      <c r="A105" s="75" t="s">
        <v>12</v>
      </c>
      <c r="B105" s="83">
        <f t="shared" si="68"/>
        <v>0</v>
      </c>
      <c r="C105" s="83">
        <f t="shared" si="68"/>
        <v>0</v>
      </c>
      <c r="D105" s="83">
        <f t="shared" si="68"/>
        <v>0</v>
      </c>
      <c r="E105" s="83">
        <f t="shared" si="68"/>
        <v>0</v>
      </c>
      <c r="F105" s="83">
        <f t="shared" si="68"/>
        <v>0</v>
      </c>
      <c r="G105" s="83">
        <f t="shared" si="68"/>
        <v>0</v>
      </c>
      <c r="H105" s="83">
        <f t="shared" si="68"/>
        <v>0</v>
      </c>
    </row>
    <row r="106" spans="1:8">
      <c r="A106" s="75" t="s">
        <v>27</v>
      </c>
      <c r="B106" s="83">
        <f t="shared" si="68"/>
        <v>0</v>
      </c>
      <c r="C106" s="83">
        <f t="shared" si="68"/>
        <v>0</v>
      </c>
      <c r="D106" s="83">
        <f t="shared" si="68"/>
        <v>0</v>
      </c>
      <c r="E106" s="83">
        <f t="shared" si="68"/>
        <v>0</v>
      </c>
      <c r="F106" s="83">
        <f t="shared" si="68"/>
        <v>0</v>
      </c>
      <c r="G106" s="83">
        <f t="shared" si="68"/>
        <v>0</v>
      </c>
      <c r="H106" s="83">
        <f t="shared" si="68"/>
        <v>0</v>
      </c>
    </row>
    <row r="107" spans="1:8">
      <c r="A107" s="75" t="s">
        <v>47</v>
      </c>
      <c r="B107" s="83">
        <f t="shared" si="68"/>
        <v>0</v>
      </c>
      <c r="C107" s="83">
        <f t="shared" si="68"/>
        <v>0</v>
      </c>
      <c r="D107" s="83">
        <f t="shared" si="68"/>
        <v>0</v>
      </c>
      <c r="E107" s="83">
        <f t="shared" si="68"/>
        <v>0</v>
      </c>
      <c r="F107" s="83">
        <f t="shared" si="68"/>
        <v>0</v>
      </c>
      <c r="G107" s="83">
        <f t="shared" si="68"/>
        <v>0</v>
      </c>
      <c r="H107" s="83">
        <f t="shared" si="68"/>
        <v>0</v>
      </c>
    </row>
    <row r="108" spans="1:8">
      <c r="A108" s="75" t="s">
        <v>12</v>
      </c>
      <c r="B108" s="83" t="e">
        <f t="shared" si="68"/>
        <v>#DIV/0!</v>
      </c>
      <c r="C108" s="83" t="e">
        <f t="shared" si="68"/>
        <v>#DIV/0!</v>
      </c>
      <c r="D108" s="83" t="e">
        <f t="shared" si="68"/>
        <v>#DIV/0!</v>
      </c>
      <c r="E108" s="83" t="e">
        <f t="shared" si="68"/>
        <v>#DIV/0!</v>
      </c>
      <c r="F108" s="83" t="e">
        <f t="shared" si="68"/>
        <v>#DIV/0!</v>
      </c>
      <c r="G108" s="83" t="e">
        <f t="shared" si="68"/>
        <v>#DIV/0!</v>
      </c>
      <c r="H108" s="83" t="e">
        <f t="shared" si="68"/>
        <v>#DIV/0!</v>
      </c>
    </row>
    <row r="109" spans="1:8">
      <c r="A109" s="75" t="s">
        <v>29</v>
      </c>
      <c r="B109" s="83">
        <f t="shared" si="68"/>
        <v>0</v>
      </c>
      <c r="C109" s="83">
        <f t="shared" si="68"/>
        <v>0</v>
      </c>
      <c r="D109" s="83">
        <f t="shared" si="68"/>
        <v>0</v>
      </c>
      <c r="E109" s="83">
        <f t="shared" si="68"/>
        <v>0</v>
      </c>
      <c r="F109" s="83">
        <f t="shared" si="68"/>
        <v>0</v>
      </c>
      <c r="G109" s="83">
        <f t="shared" si="68"/>
        <v>0</v>
      </c>
      <c r="H109" s="83">
        <f t="shared" si="68"/>
        <v>0</v>
      </c>
    </row>
    <row r="110" spans="1:8">
      <c r="A110" s="75" t="s">
        <v>48</v>
      </c>
      <c r="B110" s="83">
        <f t="shared" si="68"/>
        <v>0</v>
      </c>
      <c r="C110" s="83">
        <f t="shared" si="68"/>
        <v>0</v>
      </c>
      <c r="D110" s="83">
        <f t="shared" si="68"/>
        <v>0</v>
      </c>
      <c r="E110" s="83">
        <f t="shared" si="68"/>
        <v>0</v>
      </c>
      <c r="F110" s="83">
        <f t="shared" si="68"/>
        <v>0</v>
      </c>
      <c r="G110" s="83">
        <f t="shared" si="68"/>
        <v>0</v>
      </c>
      <c r="H110" s="83">
        <f t="shared" si="68"/>
        <v>0</v>
      </c>
    </row>
    <row r="111" spans="1:8">
      <c r="A111" s="75" t="s">
        <v>12</v>
      </c>
      <c r="B111" s="83">
        <f t="shared" si="68"/>
        <v>0</v>
      </c>
      <c r="C111" s="83">
        <f t="shared" si="68"/>
        <v>0</v>
      </c>
      <c r="D111" s="83">
        <f t="shared" si="68"/>
        <v>0</v>
      </c>
      <c r="E111" s="83" t="e">
        <f t="shared" si="68"/>
        <v>#DIV/0!</v>
      </c>
      <c r="F111" s="83">
        <f t="shared" si="68"/>
        <v>0</v>
      </c>
      <c r="G111" s="83">
        <f t="shared" si="68"/>
        <v>0</v>
      </c>
      <c r="H111" s="83">
        <f t="shared" si="68"/>
        <v>0</v>
      </c>
    </row>
    <row r="112" spans="1:8">
      <c r="A112" s="75" t="s">
        <v>31</v>
      </c>
      <c r="B112" s="83">
        <f t="shared" si="68"/>
        <v>0</v>
      </c>
      <c r="C112" s="83">
        <f t="shared" si="68"/>
        <v>0</v>
      </c>
      <c r="D112" s="83">
        <f t="shared" si="68"/>
        <v>0</v>
      </c>
      <c r="E112" s="83">
        <f t="shared" si="68"/>
        <v>0</v>
      </c>
      <c r="F112" s="83">
        <f t="shared" si="68"/>
        <v>0</v>
      </c>
      <c r="G112" s="83">
        <f t="shared" si="68"/>
        <v>0</v>
      </c>
      <c r="H112" s="83">
        <f t="shared" si="68"/>
        <v>0</v>
      </c>
    </row>
    <row r="113" spans="1:8">
      <c r="A113" s="75" t="s">
        <v>52</v>
      </c>
      <c r="B113" s="83">
        <f t="shared" si="68"/>
        <v>0</v>
      </c>
      <c r="C113" s="83">
        <f t="shared" si="68"/>
        <v>0</v>
      </c>
      <c r="D113" s="83">
        <f t="shared" si="68"/>
        <v>0</v>
      </c>
      <c r="E113" s="83">
        <f t="shared" si="68"/>
        <v>0</v>
      </c>
      <c r="F113" s="83">
        <f t="shared" si="68"/>
        <v>0</v>
      </c>
      <c r="G113" s="83">
        <f t="shared" si="68"/>
        <v>0</v>
      </c>
      <c r="H113" s="83">
        <f t="shared" si="68"/>
        <v>0</v>
      </c>
    </row>
    <row r="114" spans="1:8">
      <c r="A114" s="75" t="s">
        <v>12</v>
      </c>
      <c r="B114" s="83">
        <f t="shared" si="68"/>
        <v>0</v>
      </c>
      <c r="C114" s="83">
        <f t="shared" si="68"/>
        <v>0</v>
      </c>
      <c r="D114" s="83">
        <f t="shared" si="68"/>
        <v>0</v>
      </c>
      <c r="E114" s="83">
        <f t="shared" si="68"/>
        <v>0</v>
      </c>
      <c r="F114" s="83">
        <f t="shared" si="68"/>
        <v>0</v>
      </c>
      <c r="G114" s="83">
        <f t="shared" si="68"/>
        <v>0</v>
      </c>
      <c r="H114" s="83">
        <f t="shared" si="68"/>
        <v>0</v>
      </c>
    </row>
  </sheetData>
  <mergeCells count="25">
    <mergeCell ref="AM45:AQ45"/>
    <mergeCell ref="BC45:BG45"/>
    <mergeCell ref="AM46:AQ46"/>
    <mergeCell ref="BC46:BG46"/>
    <mergeCell ref="R8:Y8"/>
    <mergeCell ref="AZ19:BG19"/>
    <mergeCell ref="AZ8:BG8"/>
    <mergeCell ref="AZ12:BG12"/>
    <mergeCell ref="R19:Y19"/>
    <mergeCell ref="AM43:AQ43"/>
    <mergeCell ref="AJ19:AQ19"/>
    <mergeCell ref="A19:H19"/>
    <mergeCell ref="J19:Q19"/>
    <mergeCell ref="AM42:AQ42"/>
    <mergeCell ref="B1:H1"/>
    <mergeCell ref="B2:H2"/>
    <mergeCell ref="A5:H5"/>
    <mergeCell ref="AJ12:AQ12"/>
    <mergeCell ref="A4:H4"/>
    <mergeCell ref="A8:H8"/>
    <mergeCell ref="J8:Q8"/>
    <mergeCell ref="AJ8:AQ8"/>
    <mergeCell ref="AA8:AH8"/>
    <mergeCell ref="A12:H12"/>
    <mergeCell ref="J12:Q12"/>
  </mergeCells>
  <phoneticPr fontId="17" type="noConversion"/>
  <pageMargins left="0.16" right="0.16" top="0.21" bottom="0.28999999999999998" header="0.14000000000000001" footer="0.1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9"/>
  <dimension ref="A1:AQ114"/>
  <sheetViews>
    <sheetView zoomScaleNormal="100" workbookViewId="0">
      <selection activeCell="A9" sqref="A9:AQ40"/>
    </sheetView>
  </sheetViews>
  <sheetFormatPr defaultRowHeight="13.2"/>
  <cols>
    <col min="1" max="1" width="15.33203125" customWidth="1"/>
    <col min="2" max="2" width="7.5546875" customWidth="1"/>
    <col min="3" max="3" width="8.33203125" customWidth="1"/>
    <col min="5" max="5" width="7" customWidth="1"/>
    <col min="6" max="6" width="8" customWidth="1"/>
    <col min="7" max="7" width="7.88671875" customWidth="1"/>
    <col min="8" max="8" width="7.5546875" customWidth="1"/>
    <col min="9" max="9" width="4.33203125" customWidth="1"/>
    <col min="10" max="10" width="14.5546875" customWidth="1"/>
    <col min="11" max="11" width="6.88671875" customWidth="1"/>
    <col min="12" max="12" width="8.109375" customWidth="1"/>
    <col min="14" max="14" width="12.5546875" customWidth="1"/>
    <col min="17" max="17" width="6.88671875" customWidth="1"/>
    <col min="18" max="18" width="10.88671875" customWidth="1"/>
    <col min="19" max="19" width="15" customWidth="1"/>
    <col min="20" max="20" width="7.109375" customWidth="1"/>
    <col min="23" max="23" width="6.6640625" customWidth="1"/>
    <col min="26" max="26" width="6.88671875" customWidth="1"/>
    <col min="27" max="27" width="13.33203125" customWidth="1"/>
    <col min="28" max="28" width="15" customWidth="1"/>
    <col min="29" max="29" width="6.33203125" customWidth="1"/>
    <col min="32" max="32" width="6.88671875" customWidth="1"/>
    <col min="33" max="33" width="7.6640625" customWidth="1"/>
    <col min="34" max="34" width="8" customWidth="1"/>
    <col min="35" max="35" width="5.6640625" customWidth="1"/>
    <col min="36" max="36" width="12.33203125" customWidth="1"/>
    <col min="37" max="37" width="14.5546875" customWidth="1"/>
  </cols>
  <sheetData>
    <row r="1" spans="1:43" ht="15.6" customHeight="1">
      <c r="A1" s="256"/>
      <c r="B1" s="483" t="s">
        <v>92</v>
      </c>
      <c r="C1" s="483"/>
      <c r="D1" s="483"/>
      <c r="E1" s="483"/>
      <c r="F1" s="483"/>
      <c r="G1" s="483"/>
      <c r="H1" s="483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ht="15.6" customHeight="1">
      <c r="A2" s="257"/>
      <c r="B2" s="484" t="s">
        <v>107</v>
      </c>
      <c r="C2" s="484"/>
      <c r="D2" s="484"/>
      <c r="E2" s="484"/>
      <c r="F2" s="484"/>
      <c r="G2" s="484"/>
      <c r="H2" s="484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15.6" customHeight="1">
      <c r="A3" s="257"/>
      <c r="B3" s="257"/>
      <c r="C3" s="255"/>
      <c r="D3" s="258"/>
      <c r="E3" s="259"/>
      <c r="F3" s="259"/>
      <c r="G3" s="259"/>
      <c r="H3" s="259"/>
      <c r="J3" s="40"/>
      <c r="K3" s="12"/>
      <c r="L3" s="12"/>
      <c r="M3" s="12"/>
      <c r="N3" s="12"/>
      <c r="O3" s="12"/>
      <c r="P3" s="12"/>
      <c r="Q3" s="12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</row>
    <row r="4" spans="1:43" ht="15.6" customHeight="1">
      <c r="A4" s="487" t="s">
        <v>56</v>
      </c>
      <c r="B4" s="487"/>
      <c r="C4" s="487"/>
      <c r="D4" s="487"/>
      <c r="E4" s="487"/>
      <c r="F4" s="487"/>
      <c r="G4" s="487"/>
      <c r="H4" s="487"/>
      <c r="J4" s="40"/>
      <c r="K4" s="12"/>
      <c r="L4" s="12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</row>
    <row r="5" spans="1:43" ht="15.6">
      <c r="A5" s="485" t="s">
        <v>116</v>
      </c>
      <c r="B5" s="485"/>
      <c r="C5" s="485"/>
      <c r="D5" s="485"/>
      <c r="E5" s="485"/>
      <c r="F5" s="485"/>
      <c r="G5" s="485"/>
      <c r="H5" s="485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43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09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109"/>
      <c r="AJ6" s="98" t="s">
        <v>0</v>
      </c>
      <c r="AK6" s="98" t="s">
        <v>1</v>
      </c>
      <c r="AL6" s="98" t="s">
        <v>2</v>
      </c>
      <c r="AM6" s="98" t="s">
        <v>3</v>
      </c>
      <c r="AN6" s="98" t="s">
        <v>4</v>
      </c>
      <c r="AO6" s="98" t="s">
        <v>5</v>
      </c>
      <c r="AP6" s="98" t="s">
        <v>6</v>
      </c>
      <c r="AQ6" s="98" t="s">
        <v>7</v>
      </c>
    </row>
    <row r="7" spans="1:43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09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109"/>
      <c r="AJ7" s="98"/>
      <c r="AK7" s="98" t="s">
        <v>8</v>
      </c>
      <c r="AL7" s="98" t="s">
        <v>9</v>
      </c>
      <c r="AM7" s="98" t="s">
        <v>10</v>
      </c>
      <c r="AN7" s="98" t="s">
        <v>9</v>
      </c>
      <c r="AO7" s="98" t="s">
        <v>9</v>
      </c>
      <c r="AP7" s="98" t="s">
        <v>9</v>
      </c>
      <c r="AQ7" s="98" t="s">
        <v>9</v>
      </c>
    </row>
    <row r="8" spans="1:43">
      <c r="A8" s="469" t="s">
        <v>17</v>
      </c>
      <c r="B8" s="470"/>
      <c r="C8" s="470"/>
      <c r="D8" s="470"/>
      <c r="E8" s="470"/>
      <c r="F8" s="470"/>
      <c r="G8" s="470"/>
      <c r="H8" s="471"/>
      <c r="J8" s="469" t="s">
        <v>17</v>
      </c>
      <c r="K8" s="470"/>
      <c r="L8" s="470"/>
      <c r="M8" s="470"/>
      <c r="N8" s="470"/>
      <c r="O8" s="470"/>
      <c r="P8" s="470"/>
      <c r="Q8" s="471"/>
      <c r="R8" s="469" t="s">
        <v>17</v>
      </c>
      <c r="S8" s="470"/>
      <c r="T8" s="470"/>
      <c r="U8" s="470"/>
      <c r="V8" s="470"/>
      <c r="W8" s="470"/>
      <c r="X8" s="470"/>
      <c r="Y8" s="471"/>
      <c r="Z8" s="186"/>
      <c r="AA8" s="480" t="s">
        <v>17</v>
      </c>
      <c r="AB8" s="480"/>
      <c r="AC8" s="480"/>
      <c r="AD8" s="480"/>
      <c r="AE8" s="480"/>
      <c r="AF8" s="480"/>
      <c r="AG8" s="480"/>
      <c r="AH8" s="480"/>
      <c r="AI8" s="186"/>
      <c r="AJ8" s="480" t="s">
        <v>17</v>
      </c>
      <c r="AK8" s="480"/>
      <c r="AL8" s="480"/>
      <c r="AM8" s="480"/>
      <c r="AN8" s="480"/>
      <c r="AO8" s="480"/>
      <c r="AP8" s="480"/>
      <c r="AQ8" s="480"/>
    </row>
    <row r="9" spans="1:43">
      <c r="A9" s="277" t="s">
        <v>18</v>
      </c>
      <c r="B9" s="277">
        <f>B13+B20</f>
        <v>742.2</v>
      </c>
      <c r="C9" s="277">
        <f t="shared" ref="C9:H10" si="0">C13+C20</f>
        <v>43015</v>
      </c>
      <c r="D9" s="277">
        <f t="shared" si="0"/>
        <v>35025</v>
      </c>
      <c r="E9" s="277">
        <f t="shared" si="0"/>
        <v>7011</v>
      </c>
      <c r="F9" s="277">
        <f t="shared" si="0"/>
        <v>6187</v>
      </c>
      <c r="G9" s="277">
        <f t="shared" si="0"/>
        <v>4071</v>
      </c>
      <c r="H9" s="277">
        <f t="shared" si="0"/>
        <v>17756</v>
      </c>
      <c r="I9" s="278"/>
      <c r="J9" s="279" t="s">
        <v>18</v>
      </c>
      <c r="K9" s="280">
        <f>K13+K20</f>
        <v>306</v>
      </c>
      <c r="L9" s="279">
        <f t="shared" ref="L9:Q10" si="1">L13+L20</f>
        <v>14180</v>
      </c>
      <c r="M9" s="279">
        <f t="shared" si="1"/>
        <v>11274</v>
      </c>
      <c r="N9" s="279">
        <f t="shared" si="1"/>
        <v>2070</v>
      </c>
      <c r="O9" s="279">
        <f t="shared" si="1"/>
        <v>3231</v>
      </c>
      <c r="P9" s="279">
        <f t="shared" si="1"/>
        <v>1535</v>
      </c>
      <c r="Q9" s="279">
        <f t="shared" si="1"/>
        <v>4438</v>
      </c>
      <c r="R9" s="279" t="s">
        <v>18</v>
      </c>
      <c r="S9" s="279">
        <f>S13+S20</f>
        <v>356</v>
      </c>
      <c r="T9" s="279">
        <f t="shared" ref="T9:Y10" si="2">T13+T20</f>
        <v>23740</v>
      </c>
      <c r="U9" s="279">
        <f t="shared" si="2"/>
        <v>19673</v>
      </c>
      <c r="V9" s="279">
        <f t="shared" si="2"/>
        <v>4538</v>
      </c>
      <c r="W9" s="279">
        <f t="shared" si="2"/>
        <v>1929</v>
      </c>
      <c r="X9" s="279">
        <f t="shared" si="2"/>
        <v>2098</v>
      </c>
      <c r="Y9" s="279">
        <f t="shared" si="2"/>
        <v>11108</v>
      </c>
      <c r="Z9" s="297"/>
      <c r="AA9" s="279" t="s">
        <v>18</v>
      </c>
      <c r="AB9" s="279">
        <f t="shared" ref="AB9:AH10" si="3">AB13+AB20</f>
        <v>157</v>
      </c>
      <c r="AC9" s="279">
        <f t="shared" si="3"/>
        <v>12900</v>
      </c>
      <c r="AD9" s="279">
        <f t="shared" si="3"/>
        <v>11151</v>
      </c>
      <c r="AE9" s="279">
        <f t="shared" si="3"/>
        <v>4065</v>
      </c>
      <c r="AF9" s="279">
        <f t="shared" si="3"/>
        <v>1220</v>
      </c>
      <c r="AG9" s="279">
        <f t="shared" si="3"/>
        <v>836</v>
      </c>
      <c r="AH9" s="279">
        <f t="shared" si="3"/>
        <v>5030</v>
      </c>
      <c r="AI9" s="297"/>
      <c r="AJ9" s="279" t="s">
        <v>18</v>
      </c>
      <c r="AK9" s="281">
        <f>AK13+AK20</f>
        <v>80.2</v>
      </c>
      <c r="AL9" s="279">
        <f t="shared" ref="AL9:AQ10" si="4">AL13+AL20</f>
        <v>5095</v>
      </c>
      <c r="AM9" s="279">
        <f t="shared" si="4"/>
        <v>4078</v>
      </c>
      <c r="AN9" s="279">
        <f t="shared" si="4"/>
        <v>403</v>
      </c>
      <c r="AO9" s="279">
        <f t="shared" si="4"/>
        <v>1027</v>
      </c>
      <c r="AP9" s="279">
        <f t="shared" si="4"/>
        <v>438</v>
      </c>
      <c r="AQ9" s="279">
        <f t="shared" si="4"/>
        <v>2210</v>
      </c>
    </row>
    <row r="10" spans="1:43">
      <c r="A10" s="282" t="s">
        <v>19</v>
      </c>
      <c r="B10" s="283">
        <f>B14+B21</f>
        <v>478.9</v>
      </c>
      <c r="C10" s="277">
        <f t="shared" si="0"/>
        <v>28796</v>
      </c>
      <c r="D10" s="277">
        <f t="shared" si="0"/>
        <v>26497</v>
      </c>
      <c r="E10" s="277">
        <f t="shared" si="0"/>
        <v>5909</v>
      </c>
      <c r="F10" s="277">
        <f t="shared" si="0"/>
        <v>1997</v>
      </c>
      <c r="G10" s="277">
        <f t="shared" si="0"/>
        <v>418</v>
      </c>
      <c r="H10" s="283">
        <f>H14+H21</f>
        <v>18173</v>
      </c>
      <c r="I10" s="278"/>
      <c r="J10" s="279" t="s">
        <v>19</v>
      </c>
      <c r="K10" s="280">
        <f>K14+K21</f>
        <v>325.39999999999998</v>
      </c>
      <c r="L10" s="280">
        <f>L14+L21</f>
        <v>19737</v>
      </c>
      <c r="M10" s="280">
        <f t="shared" si="1"/>
        <v>17913</v>
      </c>
      <c r="N10" s="280">
        <f t="shared" si="1"/>
        <v>3569</v>
      </c>
      <c r="O10" s="280">
        <f t="shared" si="1"/>
        <v>1741</v>
      </c>
      <c r="P10" s="280">
        <f t="shared" si="1"/>
        <v>331</v>
      </c>
      <c r="Q10" s="280">
        <f t="shared" si="1"/>
        <v>12273</v>
      </c>
      <c r="R10" s="279" t="s">
        <v>19</v>
      </c>
      <c r="S10" s="280">
        <f>S14+S21</f>
        <v>153.49999999999997</v>
      </c>
      <c r="T10" s="280">
        <f t="shared" si="2"/>
        <v>9059</v>
      </c>
      <c r="U10" s="280">
        <f t="shared" si="2"/>
        <v>8583</v>
      </c>
      <c r="V10" s="280">
        <f t="shared" si="2"/>
        <v>2340</v>
      </c>
      <c r="W10" s="280">
        <f t="shared" si="2"/>
        <v>256</v>
      </c>
      <c r="X10" s="280">
        <f t="shared" si="2"/>
        <v>87</v>
      </c>
      <c r="Y10" s="280">
        <f t="shared" si="2"/>
        <v>5900</v>
      </c>
      <c r="Z10" s="297"/>
      <c r="AA10" s="279" t="s">
        <v>19</v>
      </c>
      <c r="AB10" s="280">
        <f>AB14+AB21</f>
        <v>83.000000000000014</v>
      </c>
      <c r="AC10" s="279">
        <f t="shared" si="3"/>
        <v>5626</v>
      </c>
      <c r="AD10" s="279">
        <f t="shared" si="3"/>
        <v>5274</v>
      </c>
      <c r="AE10" s="279">
        <f t="shared" si="3"/>
        <v>2139</v>
      </c>
      <c r="AF10" s="279">
        <f t="shared" si="3"/>
        <v>228</v>
      </c>
      <c r="AG10" s="279">
        <f t="shared" si="3"/>
        <v>80</v>
      </c>
      <c r="AH10" s="279">
        <f t="shared" si="3"/>
        <v>2827</v>
      </c>
      <c r="AI10" s="297"/>
      <c r="AJ10" s="279" t="s">
        <v>19</v>
      </c>
      <c r="AK10" s="280">
        <f>AK14+AK21</f>
        <v>0</v>
      </c>
      <c r="AL10" s="279">
        <f t="shared" si="4"/>
        <v>0</v>
      </c>
      <c r="AM10" s="279">
        <f t="shared" si="4"/>
        <v>0</v>
      </c>
      <c r="AN10" s="279">
        <f t="shared" si="4"/>
        <v>0</v>
      </c>
      <c r="AO10" s="279">
        <f t="shared" si="4"/>
        <v>0</v>
      </c>
      <c r="AP10" s="279">
        <f t="shared" si="4"/>
        <v>0</v>
      </c>
      <c r="AQ10" s="279">
        <f t="shared" si="4"/>
        <v>0</v>
      </c>
    </row>
    <row r="11" spans="1:43">
      <c r="A11" s="277" t="s">
        <v>20</v>
      </c>
      <c r="B11" s="284">
        <f t="shared" ref="B11:H11" si="5">B10/B9*100</f>
        <v>64.524386957693338</v>
      </c>
      <c r="C11" s="284">
        <f t="shared" si="5"/>
        <v>66.944089271184467</v>
      </c>
      <c r="D11" s="284">
        <f t="shared" si="5"/>
        <v>75.651677373304778</v>
      </c>
      <c r="E11" s="284">
        <f t="shared" si="5"/>
        <v>84.281842818428188</v>
      </c>
      <c r="F11" s="284">
        <f t="shared" si="5"/>
        <v>32.277355745918861</v>
      </c>
      <c r="G11" s="284">
        <f t="shared" si="5"/>
        <v>10.267747482191107</v>
      </c>
      <c r="H11" s="284">
        <f t="shared" si="5"/>
        <v>102.34850191484568</v>
      </c>
      <c r="I11" s="278"/>
      <c r="J11" s="279" t="s">
        <v>20</v>
      </c>
      <c r="K11" s="285">
        <f t="shared" ref="K11:Q11" si="6">K10/K9*100</f>
        <v>106.33986928104575</v>
      </c>
      <c r="L11" s="285">
        <f t="shared" si="6"/>
        <v>139.18899858956277</v>
      </c>
      <c r="M11" s="285">
        <f t="shared" si="6"/>
        <v>158.88770622671632</v>
      </c>
      <c r="N11" s="285">
        <f t="shared" si="6"/>
        <v>172.41545893719808</v>
      </c>
      <c r="O11" s="285">
        <f t="shared" si="6"/>
        <v>53.884246363355004</v>
      </c>
      <c r="P11" s="285">
        <f t="shared" si="6"/>
        <v>21.563517915309447</v>
      </c>
      <c r="Q11" s="285">
        <f t="shared" si="6"/>
        <v>276.54348805768365</v>
      </c>
      <c r="R11" s="279" t="s">
        <v>20</v>
      </c>
      <c r="S11" s="285">
        <f t="shared" ref="S11:Y11" si="7">S10/S9*100</f>
        <v>43.117977528089881</v>
      </c>
      <c r="T11" s="285">
        <f t="shared" si="7"/>
        <v>38.159224936815498</v>
      </c>
      <c r="U11" s="285">
        <f t="shared" si="7"/>
        <v>43.628323082397195</v>
      </c>
      <c r="V11" s="285">
        <f t="shared" si="7"/>
        <v>51.564565888056414</v>
      </c>
      <c r="W11" s="285">
        <f t="shared" si="7"/>
        <v>13.271124935199586</v>
      </c>
      <c r="X11" s="285">
        <f t="shared" si="7"/>
        <v>4.1468064823641564</v>
      </c>
      <c r="Y11" s="285">
        <f t="shared" si="7"/>
        <v>53.11487216420597</v>
      </c>
      <c r="Z11" s="298"/>
      <c r="AA11" s="279" t="s">
        <v>20</v>
      </c>
      <c r="AB11" s="285">
        <f t="shared" ref="AB11:AH11" si="8">AB10/AB9*100</f>
        <v>52.866242038216569</v>
      </c>
      <c r="AC11" s="285">
        <f t="shared" si="8"/>
        <v>43.612403100775197</v>
      </c>
      <c r="AD11" s="285">
        <f t="shared" si="8"/>
        <v>47.296206618240518</v>
      </c>
      <c r="AE11" s="285">
        <f t="shared" si="8"/>
        <v>52.61992619926199</v>
      </c>
      <c r="AF11" s="285">
        <f t="shared" si="8"/>
        <v>18.688524590163937</v>
      </c>
      <c r="AG11" s="285">
        <f t="shared" si="8"/>
        <v>9.5693779904306222</v>
      </c>
      <c r="AH11" s="285">
        <f t="shared" si="8"/>
        <v>56.20278330019881</v>
      </c>
      <c r="AI11" s="298"/>
      <c r="AJ11" s="279" t="s">
        <v>20</v>
      </c>
      <c r="AK11" s="285">
        <f t="shared" ref="AK11:AQ11" si="9">AK10/AK9*100</f>
        <v>0</v>
      </c>
      <c r="AL11" s="285">
        <f t="shared" si="9"/>
        <v>0</v>
      </c>
      <c r="AM11" s="285">
        <f t="shared" si="9"/>
        <v>0</v>
      </c>
      <c r="AN11" s="285">
        <f t="shared" si="9"/>
        <v>0</v>
      </c>
      <c r="AO11" s="285">
        <f t="shared" si="9"/>
        <v>0</v>
      </c>
      <c r="AP11" s="285">
        <f t="shared" si="9"/>
        <v>0</v>
      </c>
      <c r="AQ11" s="285">
        <f t="shared" si="9"/>
        <v>0</v>
      </c>
    </row>
    <row r="12" spans="1:43">
      <c r="A12" s="488" t="s">
        <v>11</v>
      </c>
      <c r="B12" s="489"/>
      <c r="C12" s="489"/>
      <c r="D12" s="489"/>
      <c r="E12" s="489"/>
      <c r="F12" s="489"/>
      <c r="G12" s="489"/>
      <c r="H12" s="490"/>
      <c r="I12" s="278"/>
      <c r="J12" s="491" t="s">
        <v>11</v>
      </c>
      <c r="K12" s="492"/>
      <c r="L12" s="492"/>
      <c r="M12" s="492"/>
      <c r="N12" s="492"/>
      <c r="O12" s="492"/>
      <c r="P12" s="492"/>
      <c r="Q12" s="493"/>
      <c r="R12" s="491" t="s">
        <v>11</v>
      </c>
      <c r="S12" s="492"/>
      <c r="T12" s="492"/>
      <c r="U12" s="492"/>
      <c r="V12" s="492"/>
      <c r="W12" s="492"/>
      <c r="X12" s="492"/>
      <c r="Y12" s="493"/>
      <c r="Z12" s="299"/>
      <c r="AA12" s="486" t="s">
        <v>11</v>
      </c>
      <c r="AB12" s="486"/>
      <c r="AC12" s="486"/>
      <c r="AD12" s="486"/>
      <c r="AE12" s="486"/>
      <c r="AF12" s="486"/>
      <c r="AG12" s="486"/>
      <c r="AH12" s="486"/>
      <c r="AI12" s="299"/>
      <c r="AJ12" s="486" t="s">
        <v>11</v>
      </c>
      <c r="AK12" s="486"/>
      <c r="AL12" s="486"/>
      <c r="AM12" s="486"/>
      <c r="AN12" s="486"/>
      <c r="AO12" s="486"/>
      <c r="AP12" s="486"/>
      <c r="AQ12" s="486"/>
    </row>
    <row r="13" spans="1:43">
      <c r="A13" s="286" t="s">
        <v>18</v>
      </c>
      <c r="B13" s="287">
        <f>K13+S13+AK13</f>
        <v>211</v>
      </c>
      <c r="C13" s="287">
        <f>L13+T13+AL13</f>
        <v>12760</v>
      </c>
      <c r="D13" s="287">
        <f>E13+F13+G13+H13</f>
        <v>10021</v>
      </c>
      <c r="E13" s="287">
        <f t="shared" ref="E13:H14" si="10">N13+V13+AN13</f>
        <v>2052</v>
      </c>
      <c r="F13" s="287">
        <f t="shared" si="10"/>
        <v>3416</v>
      </c>
      <c r="G13" s="287">
        <f t="shared" si="10"/>
        <v>1397</v>
      </c>
      <c r="H13" s="287">
        <f t="shared" si="10"/>
        <v>3156</v>
      </c>
      <c r="I13" s="278"/>
      <c r="J13" s="288" t="s">
        <v>18</v>
      </c>
      <c r="K13" s="289">
        <v>106</v>
      </c>
      <c r="L13" s="289">
        <v>5955</v>
      </c>
      <c r="M13" s="289">
        <f>N13+O13+P13+Q13</f>
        <v>4420</v>
      </c>
      <c r="N13" s="289">
        <v>891</v>
      </c>
      <c r="O13" s="289">
        <v>1850</v>
      </c>
      <c r="P13" s="289">
        <v>762</v>
      </c>
      <c r="Q13" s="289">
        <v>917</v>
      </c>
      <c r="R13" s="288" t="s">
        <v>18</v>
      </c>
      <c r="S13" s="289">
        <v>42</v>
      </c>
      <c r="T13" s="289">
        <v>3130</v>
      </c>
      <c r="U13" s="289">
        <f>V13+W13+X13+Y13</f>
        <v>2585</v>
      </c>
      <c r="V13" s="289">
        <v>805</v>
      </c>
      <c r="W13" s="289">
        <v>675</v>
      </c>
      <c r="X13" s="289">
        <v>439</v>
      </c>
      <c r="Y13" s="289">
        <v>666</v>
      </c>
      <c r="Z13" s="300"/>
      <c r="AA13" s="288" t="s">
        <v>18</v>
      </c>
      <c r="AB13" s="289">
        <v>42</v>
      </c>
      <c r="AC13" s="289">
        <v>3130</v>
      </c>
      <c r="AD13" s="289">
        <f>AE13+AF13+AG13+AH13</f>
        <v>2585</v>
      </c>
      <c r="AE13" s="289">
        <v>805</v>
      </c>
      <c r="AF13" s="289">
        <v>675</v>
      </c>
      <c r="AG13" s="289">
        <v>439</v>
      </c>
      <c r="AH13" s="289">
        <v>666</v>
      </c>
      <c r="AI13" s="300"/>
      <c r="AJ13" s="288" t="s">
        <v>18</v>
      </c>
      <c r="AK13" s="285">
        <v>63</v>
      </c>
      <c r="AL13" s="289">
        <v>3675</v>
      </c>
      <c r="AM13" s="289">
        <f>AN13+AO13+AP13+AQ13</f>
        <v>3016</v>
      </c>
      <c r="AN13" s="289">
        <v>356</v>
      </c>
      <c r="AO13" s="289">
        <v>891</v>
      </c>
      <c r="AP13" s="289">
        <v>196</v>
      </c>
      <c r="AQ13" s="289">
        <v>1573</v>
      </c>
    </row>
    <row r="14" spans="1:43">
      <c r="A14" s="286" t="s">
        <v>19</v>
      </c>
      <c r="B14" s="293">
        <f>K14+S14+AK14</f>
        <v>115.6</v>
      </c>
      <c r="C14" s="293">
        <f>L14+T14+AL14</f>
        <v>7299</v>
      </c>
      <c r="D14" s="293">
        <f>M14+U14+AM14</f>
        <v>6504</v>
      </c>
      <c r="E14" s="293">
        <f t="shared" si="10"/>
        <v>2024</v>
      </c>
      <c r="F14" s="293">
        <f t="shared" si="10"/>
        <v>1019</v>
      </c>
      <c r="G14" s="293">
        <f t="shared" si="10"/>
        <v>161</v>
      </c>
      <c r="H14" s="293">
        <f t="shared" si="10"/>
        <v>3300</v>
      </c>
      <c r="I14" s="278"/>
      <c r="J14" s="286" t="s">
        <v>19</v>
      </c>
      <c r="K14" s="301">
        <f>45.9+60.4+1.6+4</f>
        <v>111.89999999999999</v>
      </c>
      <c r="L14" s="301">
        <f>2685+3980+166+144</f>
        <v>6975</v>
      </c>
      <c r="M14" s="301">
        <f>2394+3600+127+122</f>
        <v>6243</v>
      </c>
      <c r="N14" s="301">
        <f>614+1215+34+30</f>
        <v>1893</v>
      </c>
      <c r="O14" s="301">
        <f>363+589+17+26</f>
        <v>995</v>
      </c>
      <c r="P14" s="301">
        <f>14+147</f>
        <v>161</v>
      </c>
      <c r="Q14" s="301">
        <f>1403+1649+76+66</f>
        <v>3194</v>
      </c>
      <c r="R14" s="286" t="s">
        <v>19</v>
      </c>
      <c r="S14" s="293">
        <f>3.7</f>
        <v>3.7</v>
      </c>
      <c r="T14" s="287">
        <f>324</f>
        <v>324</v>
      </c>
      <c r="U14" s="289">
        <f>261</f>
        <v>261</v>
      </c>
      <c r="V14" s="287">
        <f>131</f>
        <v>131</v>
      </c>
      <c r="W14" s="287">
        <f>24</f>
        <v>24</v>
      </c>
      <c r="X14" s="287">
        <f>0</f>
        <v>0</v>
      </c>
      <c r="Y14" s="287">
        <f>106</f>
        <v>106</v>
      </c>
      <c r="Z14" s="302"/>
      <c r="AA14" s="286" t="s">
        <v>19</v>
      </c>
      <c r="AB14" s="293">
        <f>3.7</f>
        <v>3.7</v>
      </c>
      <c r="AC14" s="287">
        <f>324</f>
        <v>324</v>
      </c>
      <c r="AD14" s="289">
        <f>261</f>
        <v>261</v>
      </c>
      <c r="AE14" s="287">
        <f>131</f>
        <v>131</v>
      </c>
      <c r="AF14" s="287">
        <f>24</f>
        <v>24</v>
      </c>
      <c r="AG14" s="287">
        <f>0</f>
        <v>0</v>
      </c>
      <c r="AH14" s="287">
        <f>106</f>
        <v>106</v>
      </c>
      <c r="AI14" s="302"/>
      <c r="AJ14" s="286" t="s">
        <v>19</v>
      </c>
      <c r="AK14" s="293"/>
      <c r="AL14" s="287"/>
      <c r="AM14" s="287"/>
      <c r="AN14" s="287"/>
      <c r="AO14" s="287"/>
      <c r="AP14" s="287"/>
      <c r="AQ14" s="287"/>
    </row>
    <row r="15" spans="1:43">
      <c r="A15" s="286" t="s">
        <v>20</v>
      </c>
      <c r="B15" s="284">
        <f>B14/B13*100</f>
        <v>54.786729857819907</v>
      </c>
      <c r="C15" s="284">
        <f t="shared" ref="C15:H15" si="11">C14/C13*100</f>
        <v>57.202194357366778</v>
      </c>
      <c r="D15" s="284">
        <f>D14/D13*100</f>
        <v>64.903702225326811</v>
      </c>
      <c r="E15" s="284">
        <f t="shared" si="11"/>
        <v>98.635477582845994</v>
      </c>
      <c r="F15" s="284">
        <f t="shared" si="11"/>
        <v>29.830210772833727</v>
      </c>
      <c r="G15" s="284">
        <f t="shared" si="11"/>
        <v>11.524695776664281</v>
      </c>
      <c r="H15" s="284">
        <f t="shared" si="11"/>
        <v>104.56273764258555</v>
      </c>
      <c r="I15" s="278"/>
      <c r="J15" s="288" t="s">
        <v>20</v>
      </c>
      <c r="K15" s="285">
        <f t="shared" ref="K15:P15" si="12">K14/K13*100</f>
        <v>105.56603773584905</v>
      </c>
      <c r="L15" s="285">
        <f>L14/L13*100</f>
        <v>117.12846347607054</v>
      </c>
      <c r="M15" s="285">
        <f t="shared" si="12"/>
        <v>141.24434389140274</v>
      </c>
      <c r="N15" s="285">
        <f t="shared" si="12"/>
        <v>212.45791245791247</v>
      </c>
      <c r="O15" s="285">
        <f t="shared" si="12"/>
        <v>53.783783783783775</v>
      </c>
      <c r="P15" s="285">
        <f t="shared" si="12"/>
        <v>21.128608923884514</v>
      </c>
      <c r="Q15" s="285">
        <f>Q14/Q13*100</f>
        <v>348.30970556161395</v>
      </c>
      <c r="R15" s="288" t="s">
        <v>20</v>
      </c>
      <c r="S15" s="285">
        <f t="shared" ref="S15:Y15" si="13">S14/S13*100</f>
        <v>8.8095238095238102</v>
      </c>
      <c r="T15" s="285">
        <f t="shared" si="13"/>
        <v>10.351437699680512</v>
      </c>
      <c r="U15" s="285">
        <f t="shared" si="13"/>
        <v>10.096711798839458</v>
      </c>
      <c r="V15" s="285">
        <f t="shared" si="13"/>
        <v>16.273291925465838</v>
      </c>
      <c r="W15" s="285">
        <f t="shared" si="13"/>
        <v>3.5555555555555554</v>
      </c>
      <c r="X15" s="285">
        <f t="shared" si="13"/>
        <v>0</v>
      </c>
      <c r="Y15" s="285">
        <f t="shared" si="13"/>
        <v>15.915915915915916</v>
      </c>
      <c r="Z15" s="298"/>
      <c r="AA15" s="288" t="s">
        <v>20</v>
      </c>
      <c r="AB15" s="285">
        <f t="shared" ref="AB15:AH15" si="14">AB14/AB13*100</f>
        <v>8.8095238095238102</v>
      </c>
      <c r="AC15" s="285">
        <f t="shared" si="14"/>
        <v>10.351437699680512</v>
      </c>
      <c r="AD15" s="285">
        <f>AD14/AD13*100</f>
        <v>10.096711798839458</v>
      </c>
      <c r="AE15" s="285">
        <f t="shared" si="14"/>
        <v>16.273291925465838</v>
      </c>
      <c r="AF15" s="285">
        <f t="shared" si="14"/>
        <v>3.5555555555555554</v>
      </c>
      <c r="AG15" s="285">
        <f t="shared" si="14"/>
        <v>0</v>
      </c>
      <c r="AH15" s="285">
        <f t="shared" si="14"/>
        <v>15.915915915915916</v>
      </c>
      <c r="AI15" s="298"/>
      <c r="AJ15" s="288" t="s">
        <v>20</v>
      </c>
      <c r="AK15" s="285">
        <f t="shared" ref="AK15:AQ15" si="15">AK14/AK13*100</f>
        <v>0</v>
      </c>
      <c r="AL15" s="285">
        <f t="shared" si="15"/>
        <v>0</v>
      </c>
      <c r="AM15" s="285">
        <f t="shared" si="15"/>
        <v>0</v>
      </c>
      <c r="AN15" s="285">
        <f t="shared" si="15"/>
        <v>0</v>
      </c>
      <c r="AO15" s="285">
        <f t="shared" si="15"/>
        <v>0</v>
      </c>
      <c r="AP15" s="285">
        <f t="shared" si="15"/>
        <v>0</v>
      </c>
      <c r="AQ15" s="285">
        <f t="shared" si="15"/>
        <v>0</v>
      </c>
    </row>
    <row r="16" spans="1:43">
      <c r="A16" s="287" t="s">
        <v>13</v>
      </c>
      <c r="B16" s="287">
        <f t="shared" ref="B16:C18" si="16">K16+S16+AK16</f>
        <v>60.699999999999996</v>
      </c>
      <c r="C16" s="287">
        <f t="shared" si="16"/>
        <v>2756</v>
      </c>
      <c r="D16" s="287">
        <f>E16+F16+G16+H16</f>
        <v>2408</v>
      </c>
      <c r="E16" s="287">
        <f t="shared" ref="E16:H18" si="17">N16+V16+AN16</f>
        <v>776</v>
      </c>
      <c r="F16" s="287">
        <f t="shared" si="17"/>
        <v>424</v>
      </c>
      <c r="G16" s="287">
        <f t="shared" si="17"/>
        <v>52</v>
      </c>
      <c r="H16" s="287">
        <f t="shared" si="17"/>
        <v>1156</v>
      </c>
      <c r="I16" s="278"/>
      <c r="J16" s="289" t="s">
        <v>13</v>
      </c>
      <c r="K16" s="289">
        <f>31.8+22.5+1.6+4</f>
        <v>59.9</v>
      </c>
      <c r="L16" s="289">
        <f>1417+1020+137+135</f>
        <v>2709</v>
      </c>
      <c r="M16" s="289">
        <f>1232+899+128+115</f>
        <v>2374</v>
      </c>
      <c r="N16" s="289">
        <f>404+272+34+26+30</f>
        <v>766</v>
      </c>
      <c r="O16" s="289">
        <f>196+181+17+26</f>
        <v>420</v>
      </c>
      <c r="P16" s="289">
        <f>0+52</f>
        <v>52</v>
      </c>
      <c r="Q16" s="289">
        <f>632+394+47+66</f>
        <v>1139</v>
      </c>
      <c r="R16" s="289" t="s">
        <v>13</v>
      </c>
      <c r="S16" s="289">
        <f>0.8</f>
        <v>0.8</v>
      </c>
      <c r="T16" s="289">
        <f>47</f>
        <v>47</v>
      </c>
      <c r="U16" s="289">
        <f>31</f>
        <v>31</v>
      </c>
      <c r="V16" s="289">
        <f>10</f>
        <v>10</v>
      </c>
      <c r="W16" s="289">
        <f>4</f>
        <v>4</v>
      </c>
      <c r="X16" s="289">
        <f>0</f>
        <v>0</v>
      </c>
      <c r="Y16" s="289">
        <f>17</f>
        <v>17</v>
      </c>
      <c r="Z16" s="300"/>
      <c r="AA16" s="289" t="s">
        <v>13</v>
      </c>
      <c r="AB16" s="289">
        <f>0.8</f>
        <v>0.8</v>
      </c>
      <c r="AC16" s="289">
        <f>47</f>
        <v>47</v>
      </c>
      <c r="AD16" s="289">
        <f>31</f>
        <v>31</v>
      </c>
      <c r="AE16" s="289">
        <f>10</f>
        <v>10</v>
      </c>
      <c r="AF16" s="289">
        <f>4</f>
        <v>4</v>
      </c>
      <c r="AG16" s="289">
        <f>0</f>
        <v>0</v>
      </c>
      <c r="AH16" s="289">
        <f>17</f>
        <v>17</v>
      </c>
      <c r="AI16" s="300"/>
      <c r="AJ16" s="289" t="s">
        <v>13</v>
      </c>
      <c r="AK16" s="290"/>
      <c r="AL16" s="289"/>
      <c r="AM16" s="289"/>
      <c r="AN16" s="289"/>
      <c r="AO16" s="289"/>
      <c r="AP16" s="289"/>
      <c r="AQ16" s="289"/>
    </row>
    <row r="17" spans="1:43">
      <c r="A17" s="287" t="s">
        <v>14</v>
      </c>
      <c r="B17" s="287">
        <f t="shared" si="16"/>
        <v>51.9</v>
      </c>
      <c r="C17" s="287">
        <f t="shared" si="16"/>
        <v>2764</v>
      </c>
      <c r="D17" s="287">
        <f>E17+F17+G17+H17</f>
        <v>2519</v>
      </c>
      <c r="E17" s="287">
        <f t="shared" si="17"/>
        <v>769</v>
      </c>
      <c r="F17" s="287">
        <f t="shared" si="17"/>
        <v>461</v>
      </c>
      <c r="G17" s="287">
        <f t="shared" si="17"/>
        <v>96</v>
      </c>
      <c r="H17" s="287">
        <f t="shared" si="17"/>
        <v>1193</v>
      </c>
      <c r="I17" s="278"/>
      <c r="J17" s="289" t="s">
        <v>14</v>
      </c>
      <c r="K17" s="289">
        <f>14+37.9</f>
        <v>51.9</v>
      </c>
      <c r="L17" s="289">
        <f>804+1960</f>
        <v>2764</v>
      </c>
      <c r="M17" s="289">
        <f>734+1785</f>
        <v>2519</v>
      </c>
      <c r="N17" s="289">
        <f>148+621</f>
        <v>769</v>
      </c>
      <c r="O17" s="289">
        <f>133+328</f>
        <v>461</v>
      </c>
      <c r="P17" s="289">
        <f>12+84</f>
        <v>96</v>
      </c>
      <c r="Q17" s="289">
        <f>441+752</f>
        <v>1193</v>
      </c>
      <c r="R17" s="289" t="s">
        <v>14</v>
      </c>
      <c r="S17" s="289"/>
      <c r="T17" s="289"/>
      <c r="U17" s="289"/>
      <c r="V17" s="289"/>
      <c r="W17" s="289"/>
      <c r="X17" s="289"/>
      <c r="Y17" s="289"/>
      <c r="Z17" s="300"/>
      <c r="AA17" s="289" t="s">
        <v>14</v>
      </c>
      <c r="AB17" s="289"/>
      <c r="AC17" s="289"/>
      <c r="AD17" s="289"/>
      <c r="AE17" s="289"/>
      <c r="AF17" s="289"/>
      <c r="AG17" s="289"/>
      <c r="AH17" s="289"/>
      <c r="AI17" s="300"/>
      <c r="AJ17" s="289" t="s">
        <v>14</v>
      </c>
      <c r="AK17" s="290"/>
      <c r="AL17" s="285"/>
      <c r="AM17" s="285"/>
      <c r="AN17" s="285"/>
      <c r="AO17" s="285"/>
      <c r="AP17" s="285"/>
      <c r="AQ17" s="285"/>
    </row>
    <row r="18" spans="1:43">
      <c r="A18" s="287" t="s">
        <v>15</v>
      </c>
      <c r="B18" s="287">
        <f t="shared" si="16"/>
        <v>0</v>
      </c>
      <c r="C18" s="287">
        <f t="shared" si="16"/>
        <v>0</v>
      </c>
      <c r="D18" s="287">
        <f>E18+F18+G18+H18</f>
        <v>0</v>
      </c>
      <c r="E18" s="287">
        <f t="shared" si="17"/>
        <v>0</v>
      </c>
      <c r="F18" s="287">
        <f t="shared" si="17"/>
        <v>0</v>
      </c>
      <c r="G18" s="287">
        <f t="shared" si="17"/>
        <v>0</v>
      </c>
      <c r="H18" s="287">
        <f t="shared" si="17"/>
        <v>0</v>
      </c>
      <c r="I18" s="278"/>
      <c r="J18" s="289" t="s">
        <v>15</v>
      </c>
      <c r="K18" s="291"/>
      <c r="L18" s="289"/>
      <c r="M18" s="289"/>
      <c r="N18" s="289"/>
      <c r="O18" s="289"/>
      <c r="P18" s="289"/>
      <c r="Q18" s="289"/>
      <c r="R18" s="289" t="s">
        <v>15</v>
      </c>
      <c r="S18" s="289"/>
      <c r="T18" s="289"/>
      <c r="U18" s="289"/>
      <c r="V18" s="289"/>
      <c r="W18" s="289"/>
      <c r="X18" s="289"/>
      <c r="Y18" s="289"/>
      <c r="Z18" s="300"/>
      <c r="AA18" s="289" t="s">
        <v>15</v>
      </c>
      <c r="AB18" s="289"/>
      <c r="AC18" s="289"/>
      <c r="AD18" s="289"/>
      <c r="AE18" s="289"/>
      <c r="AF18" s="289"/>
      <c r="AG18" s="289"/>
      <c r="AH18" s="289"/>
      <c r="AI18" s="300"/>
      <c r="AJ18" s="289" t="s">
        <v>15</v>
      </c>
      <c r="AK18" s="290"/>
      <c r="AL18" s="285"/>
      <c r="AM18" s="285"/>
      <c r="AN18" s="285"/>
      <c r="AO18" s="285"/>
      <c r="AP18" s="285"/>
      <c r="AQ18" s="285"/>
    </row>
    <row r="19" spans="1:43">
      <c r="A19" s="488" t="s">
        <v>16</v>
      </c>
      <c r="B19" s="489"/>
      <c r="C19" s="489"/>
      <c r="D19" s="489"/>
      <c r="E19" s="489"/>
      <c r="F19" s="489"/>
      <c r="G19" s="489"/>
      <c r="H19" s="490"/>
      <c r="I19" s="278"/>
      <c r="J19" s="491" t="s">
        <v>16</v>
      </c>
      <c r="K19" s="492"/>
      <c r="L19" s="492"/>
      <c r="M19" s="492"/>
      <c r="N19" s="492"/>
      <c r="O19" s="492"/>
      <c r="P19" s="492"/>
      <c r="Q19" s="493"/>
      <c r="R19" s="491" t="s">
        <v>16</v>
      </c>
      <c r="S19" s="492"/>
      <c r="T19" s="492"/>
      <c r="U19" s="492"/>
      <c r="V19" s="492"/>
      <c r="W19" s="492"/>
      <c r="X19" s="492"/>
      <c r="Y19" s="493"/>
      <c r="Z19" s="299"/>
      <c r="AA19" s="486" t="s">
        <v>16</v>
      </c>
      <c r="AB19" s="486"/>
      <c r="AC19" s="486"/>
      <c r="AD19" s="486"/>
      <c r="AE19" s="486"/>
      <c r="AF19" s="486"/>
      <c r="AG19" s="486"/>
      <c r="AH19" s="486"/>
      <c r="AI19" s="299"/>
      <c r="AJ19" s="486" t="s">
        <v>16</v>
      </c>
      <c r="AK19" s="486"/>
      <c r="AL19" s="486"/>
      <c r="AM19" s="486"/>
      <c r="AN19" s="486"/>
      <c r="AO19" s="486"/>
      <c r="AP19" s="486"/>
      <c r="AQ19" s="486"/>
    </row>
    <row r="20" spans="1:43">
      <c r="A20" s="286" t="s">
        <v>18</v>
      </c>
      <c r="B20" s="287">
        <f>B23+B26+B29+B32+B35+B38</f>
        <v>531.20000000000005</v>
      </c>
      <c r="C20" s="287">
        <f t="shared" ref="C20:H21" si="18">C23+C26+C29+C32+C35+C38</f>
        <v>30255</v>
      </c>
      <c r="D20" s="287">
        <f t="shared" si="18"/>
        <v>25004</v>
      </c>
      <c r="E20" s="287">
        <f t="shared" si="18"/>
        <v>4959</v>
      </c>
      <c r="F20" s="287">
        <f t="shared" si="18"/>
        <v>2771</v>
      </c>
      <c r="G20" s="287">
        <f t="shared" si="18"/>
        <v>2674</v>
      </c>
      <c r="H20" s="287">
        <f t="shared" si="18"/>
        <v>14600</v>
      </c>
      <c r="I20" s="278"/>
      <c r="J20" s="288" t="s">
        <v>18</v>
      </c>
      <c r="K20" s="289">
        <f t="shared" ref="K20:Q21" si="19">K23+K26+K29+K32+K35+K38</f>
        <v>200</v>
      </c>
      <c r="L20" s="289">
        <f t="shared" si="19"/>
        <v>8225</v>
      </c>
      <c r="M20" s="289">
        <f t="shared" si="19"/>
        <v>6854</v>
      </c>
      <c r="N20" s="289">
        <f t="shared" si="19"/>
        <v>1179</v>
      </c>
      <c r="O20" s="289">
        <f t="shared" si="19"/>
        <v>1381</v>
      </c>
      <c r="P20" s="289">
        <f t="shared" si="19"/>
        <v>773</v>
      </c>
      <c r="Q20" s="289">
        <f t="shared" si="19"/>
        <v>3521</v>
      </c>
      <c r="R20" s="288" t="s">
        <v>18</v>
      </c>
      <c r="S20" s="289">
        <f t="shared" ref="S20:Y21" si="20">S23+S26+S29+S32+S35+S38</f>
        <v>314</v>
      </c>
      <c r="T20" s="289">
        <f t="shared" si="20"/>
        <v>20610</v>
      </c>
      <c r="U20" s="289">
        <f t="shared" si="20"/>
        <v>17088</v>
      </c>
      <c r="V20" s="289">
        <f t="shared" si="20"/>
        <v>3733</v>
      </c>
      <c r="W20" s="289">
        <f t="shared" si="20"/>
        <v>1254</v>
      </c>
      <c r="X20" s="289">
        <f t="shared" si="20"/>
        <v>1659</v>
      </c>
      <c r="Y20" s="289">
        <f t="shared" si="20"/>
        <v>10442</v>
      </c>
      <c r="Z20" s="300"/>
      <c r="AA20" s="288" t="s">
        <v>18</v>
      </c>
      <c r="AB20" s="290">
        <f>AB23+AB26+AB29+AB32+AB35+AB38</f>
        <v>115</v>
      </c>
      <c r="AC20" s="289">
        <f t="shared" ref="AC20:AH21" si="21">AC23+AC26+AC29+AC32+AC35+AC38</f>
        <v>9770</v>
      </c>
      <c r="AD20" s="289">
        <f t="shared" si="21"/>
        <v>8566</v>
      </c>
      <c r="AE20" s="289">
        <f t="shared" si="21"/>
        <v>3260</v>
      </c>
      <c r="AF20" s="289">
        <f t="shared" si="21"/>
        <v>545</v>
      </c>
      <c r="AG20" s="289">
        <f t="shared" si="21"/>
        <v>397</v>
      </c>
      <c r="AH20" s="289">
        <f t="shared" si="21"/>
        <v>4364</v>
      </c>
      <c r="AI20" s="300"/>
      <c r="AJ20" s="288" t="s">
        <v>18</v>
      </c>
      <c r="AK20" s="285">
        <f t="shared" ref="AK20:AQ21" si="22">AK23+AK26+AK29+AK32+AK35+AK38</f>
        <v>17.2</v>
      </c>
      <c r="AL20" s="289">
        <f t="shared" si="22"/>
        <v>1420</v>
      </c>
      <c r="AM20" s="289">
        <f t="shared" si="22"/>
        <v>1062</v>
      </c>
      <c r="AN20" s="289">
        <f t="shared" si="22"/>
        <v>47</v>
      </c>
      <c r="AO20" s="289">
        <f t="shared" si="22"/>
        <v>136</v>
      </c>
      <c r="AP20" s="289">
        <f t="shared" si="22"/>
        <v>242</v>
      </c>
      <c r="AQ20" s="289">
        <f t="shared" si="22"/>
        <v>637</v>
      </c>
    </row>
    <row r="21" spans="1:43">
      <c r="A21" s="292" t="s">
        <v>19</v>
      </c>
      <c r="B21" s="293">
        <f>B24+B27+B30+B33+B36+B39</f>
        <v>363.29999999999995</v>
      </c>
      <c r="C21" s="287">
        <f t="shared" si="18"/>
        <v>21497</v>
      </c>
      <c r="D21" s="287">
        <f t="shared" si="18"/>
        <v>19993</v>
      </c>
      <c r="E21" s="287">
        <f t="shared" si="18"/>
        <v>3885</v>
      </c>
      <c r="F21" s="287">
        <f t="shared" si="18"/>
        <v>978</v>
      </c>
      <c r="G21" s="287">
        <f t="shared" si="18"/>
        <v>257</v>
      </c>
      <c r="H21" s="287">
        <f>H24+H27+H30+H33+H36+H39</f>
        <v>14873</v>
      </c>
      <c r="I21" s="278"/>
      <c r="J21" s="288" t="s">
        <v>19</v>
      </c>
      <c r="K21" s="290">
        <f>K24+K27+K30+K33+K36+K39</f>
        <v>213.49999999999997</v>
      </c>
      <c r="L21" s="290">
        <f t="shared" si="19"/>
        <v>12762</v>
      </c>
      <c r="M21" s="290">
        <f t="shared" si="19"/>
        <v>11670</v>
      </c>
      <c r="N21" s="290">
        <f t="shared" si="19"/>
        <v>1676</v>
      </c>
      <c r="O21" s="290">
        <f t="shared" si="19"/>
        <v>746</v>
      </c>
      <c r="P21" s="290">
        <f t="shared" si="19"/>
        <v>170</v>
      </c>
      <c r="Q21" s="290">
        <f t="shared" si="19"/>
        <v>9079</v>
      </c>
      <c r="R21" s="288" t="s">
        <v>19</v>
      </c>
      <c r="S21" s="290">
        <f>S24+S27+S30+S33+S36+S39</f>
        <v>149.79999999999998</v>
      </c>
      <c r="T21" s="290">
        <f>T24+T27+T30+T33+T36+T39</f>
        <v>8735</v>
      </c>
      <c r="U21" s="290">
        <f t="shared" si="20"/>
        <v>8322</v>
      </c>
      <c r="V21" s="290">
        <f t="shared" si="20"/>
        <v>2209</v>
      </c>
      <c r="W21" s="290">
        <f t="shared" si="20"/>
        <v>232</v>
      </c>
      <c r="X21" s="290">
        <f t="shared" si="20"/>
        <v>87</v>
      </c>
      <c r="Y21" s="290">
        <f t="shared" si="20"/>
        <v>5794</v>
      </c>
      <c r="Z21" s="300"/>
      <c r="AA21" s="288" t="s">
        <v>19</v>
      </c>
      <c r="AB21" s="290">
        <f>AB24+AB27+AB30+AB33+AB36+AB39</f>
        <v>79.300000000000011</v>
      </c>
      <c r="AC21" s="290">
        <f>AC24+AC27+AC30+AC33+AC36+AC39</f>
        <v>5302</v>
      </c>
      <c r="AD21" s="290">
        <f>AD24+AD27+AD30+AD33+AD36+AD39</f>
        <v>5013</v>
      </c>
      <c r="AE21" s="290">
        <f>AE24+AE27+AE30+AE33+AE36+AE39</f>
        <v>2008</v>
      </c>
      <c r="AF21" s="290">
        <f t="shared" si="21"/>
        <v>204</v>
      </c>
      <c r="AG21" s="290">
        <f>AG24+AG27+AG30+AG33+AG36+AG39</f>
        <v>80</v>
      </c>
      <c r="AH21" s="290">
        <f t="shared" si="21"/>
        <v>2721</v>
      </c>
      <c r="AI21" s="300"/>
      <c r="AJ21" s="288" t="s">
        <v>19</v>
      </c>
      <c r="AK21" s="290">
        <f>AK24+AK27+AK30+AK33+AK36+AK39</f>
        <v>0</v>
      </c>
      <c r="AL21" s="290">
        <f t="shared" si="22"/>
        <v>0</v>
      </c>
      <c r="AM21" s="290">
        <f t="shared" si="22"/>
        <v>0</v>
      </c>
      <c r="AN21" s="290">
        <f t="shared" si="22"/>
        <v>0</v>
      </c>
      <c r="AO21" s="290">
        <f t="shared" si="22"/>
        <v>0</v>
      </c>
      <c r="AP21" s="290">
        <f t="shared" si="22"/>
        <v>0</v>
      </c>
      <c r="AQ21" s="290">
        <f t="shared" si="22"/>
        <v>0</v>
      </c>
    </row>
    <row r="22" spans="1:43">
      <c r="A22" s="286" t="s">
        <v>20</v>
      </c>
      <c r="B22" s="284">
        <f t="shared" ref="B22:H22" si="23">B21/B20*100</f>
        <v>68.392319277108413</v>
      </c>
      <c r="C22" s="284">
        <f t="shared" si="23"/>
        <v>71.052718558915885</v>
      </c>
      <c r="D22" s="284">
        <f t="shared" si="23"/>
        <v>79.959206526955683</v>
      </c>
      <c r="E22" s="284">
        <f t="shared" si="23"/>
        <v>78.342407743496679</v>
      </c>
      <c r="F22" s="284">
        <f t="shared" si="23"/>
        <v>35.294117647058826</v>
      </c>
      <c r="G22" s="284">
        <f t="shared" si="23"/>
        <v>9.6110695587135382</v>
      </c>
      <c r="H22" s="284">
        <f t="shared" si="23"/>
        <v>101.86986301369862</v>
      </c>
      <c r="I22" s="278"/>
      <c r="J22" s="288" t="s">
        <v>20</v>
      </c>
      <c r="K22" s="285">
        <f t="shared" ref="K22:Q22" si="24">K21/K20*100</f>
        <v>106.74999999999999</v>
      </c>
      <c r="L22" s="285">
        <f t="shared" si="24"/>
        <v>155.161094224924</v>
      </c>
      <c r="M22" s="285">
        <f t="shared" si="24"/>
        <v>170.26553837175371</v>
      </c>
      <c r="N22" s="285">
        <f t="shared" si="24"/>
        <v>142.15436810856659</v>
      </c>
      <c r="O22" s="285">
        <f t="shared" si="24"/>
        <v>54.018826937002174</v>
      </c>
      <c r="P22" s="285">
        <f t="shared" si="24"/>
        <v>21.992238033635186</v>
      </c>
      <c r="Q22" s="285">
        <f t="shared" si="24"/>
        <v>257.85288270377731</v>
      </c>
      <c r="R22" s="288" t="s">
        <v>20</v>
      </c>
      <c r="S22" s="285">
        <f t="shared" ref="S22:Y22" si="25">S21/S20*100</f>
        <v>47.707006369426743</v>
      </c>
      <c r="T22" s="285">
        <f t="shared" si="25"/>
        <v>42.382338670548272</v>
      </c>
      <c r="U22" s="285">
        <f t="shared" si="25"/>
        <v>48.700842696629216</v>
      </c>
      <c r="V22" s="285">
        <f t="shared" si="25"/>
        <v>59.174926332708274</v>
      </c>
      <c r="W22" s="285">
        <f t="shared" si="25"/>
        <v>18.500797448165869</v>
      </c>
      <c r="X22" s="285">
        <f t="shared" si="25"/>
        <v>5.244122965641953</v>
      </c>
      <c r="Y22" s="285">
        <f t="shared" si="25"/>
        <v>55.487454510630151</v>
      </c>
      <c r="Z22" s="298"/>
      <c r="AA22" s="288" t="s">
        <v>20</v>
      </c>
      <c r="AB22" s="285">
        <f t="shared" ref="AB22:AH22" si="26">AB21/AB20*100</f>
        <v>68.956521739130451</v>
      </c>
      <c r="AC22" s="285">
        <f t="shared" si="26"/>
        <v>54.268167860798364</v>
      </c>
      <c r="AD22" s="285">
        <f t="shared" si="26"/>
        <v>58.522063973850102</v>
      </c>
      <c r="AE22" s="285">
        <f t="shared" si="26"/>
        <v>61.595092024539881</v>
      </c>
      <c r="AF22" s="285">
        <f t="shared" si="26"/>
        <v>37.431192660550458</v>
      </c>
      <c r="AG22" s="285">
        <f t="shared" si="26"/>
        <v>20.151133501259448</v>
      </c>
      <c r="AH22" s="285">
        <f t="shared" si="26"/>
        <v>62.351054078826763</v>
      </c>
      <c r="AI22" s="298"/>
      <c r="AJ22" s="288" t="s">
        <v>20</v>
      </c>
      <c r="AK22" s="285">
        <f t="shared" ref="AK22:AQ22" si="27">AK21/AK20*100</f>
        <v>0</v>
      </c>
      <c r="AL22" s="285">
        <f t="shared" si="27"/>
        <v>0</v>
      </c>
      <c r="AM22" s="285">
        <f t="shared" si="27"/>
        <v>0</v>
      </c>
      <c r="AN22" s="285">
        <f t="shared" si="27"/>
        <v>0</v>
      </c>
      <c r="AO22" s="285">
        <f t="shared" si="27"/>
        <v>0</v>
      </c>
      <c r="AP22" s="285">
        <f t="shared" si="27"/>
        <v>0</v>
      </c>
      <c r="AQ22" s="285">
        <f t="shared" si="27"/>
        <v>0</v>
      </c>
    </row>
    <row r="23" spans="1:43">
      <c r="A23" s="287" t="s">
        <v>21</v>
      </c>
      <c r="B23" s="293">
        <f>K23+S23+AK23</f>
        <v>212</v>
      </c>
      <c r="C23" s="287">
        <f>L23+T23+AL23</f>
        <v>14745</v>
      </c>
      <c r="D23" s="287">
        <f>E23+F23+G23+H23</f>
        <v>12534</v>
      </c>
      <c r="E23" s="287">
        <f t="shared" ref="E23:H24" si="28">N23+V23+AN23</f>
        <v>4114</v>
      </c>
      <c r="F23" s="287">
        <f t="shared" si="28"/>
        <v>1329</v>
      </c>
      <c r="G23" s="287">
        <f t="shared" si="28"/>
        <v>975</v>
      </c>
      <c r="H23" s="287">
        <f t="shared" si="28"/>
        <v>6116</v>
      </c>
      <c r="I23" s="278"/>
      <c r="J23" s="289" t="s">
        <v>21</v>
      </c>
      <c r="K23" s="289">
        <v>107</v>
      </c>
      <c r="L23" s="289">
        <v>5255</v>
      </c>
      <c r="M23" s="289">
        <f>N23+O23+P23+Q23</f>
        <v>4411</v>
      </c>
      <c r="N23" s="289">
        <v>1002</v>
      </c>
      <c r="O23" s="289">
        <v>841</v>
      </c>
      <c r="P23" s="289">
        <v>544</v>
      </c>
      <c r="Q23" s="289">
        <v>2024</v>
      </c>
      <c r="R23" s="289" t="s">
        <v>21</v>
      </c>
      <c r="S23" s="289">
        <f>100</f>
        <v>100</v>
      </c>
      <c r="T23" s="289">
        <f>8850</f>
        <v>8850</v>
      </c>
      <c r="U23" s="289">
        <f>V23+W23+X23+Y23</f>
        <v>7873</v>
      </c>
      <c r="V23" s="289">
        <f>3096</f>
        <v>3096</v>
      </c>
      <c r="W23" s="289">
        <f>442</f>
        <v>442</v>
      </c>
      <c r="X23" s="289">
        <f>354</f>
        <v>354</v>
      </c>
      <c r="Y23" s="289">
        <f>3981</f>
        <v>3981</v>
      </c>
      <c r="Z23" s="300"/>
      <c r="AA23" s="289" t="s">
        <v>21</v>
      </c>
      <c r="AB23" s="289">
        <v>100</v>
      </c>
      <c r="AC23" s="289">
        <v>8850</v>
      </c>
      <c r="AD23" s="289">
        <f>AE23+AF23+AG23+AH23</f>
        <v>7873</v>
      </c>
      <c r="AE23" s="289">
        <v>3096</v>
      </c>
      <c r="AF23" s="289">
        <v>442</v>
      </c>
      <c r="AG23" s="289">
        <v>354</v>
      </c>
      <c r="AH23" s="289">
        <v>3981</v>
      </c>
      <c r="AI23" s="300"/>
      <c r="AJ23" s="289" t="s">
        <v>21</v>
      </c>
      <c r="AK23" s="290">
        <v>5</v>
      </c>
      <c r="AL23" s="289">
        <v>640</v>
      </c>
      <c r="AM23" s="289">
        <f>SUM(AN23:AQ23)</f>
        <v>250</v>
      </c>
      <c r="AN23" s="289">
        <v>16</v>
      </c>
      <c r="AO23" s="289">
        <v>46</v>
      </c>
      <c r="AP23" s="289">
        <v>77</v>
      </c>
      <c r="AQ23" s="289">
        <v>111</v>
      </c>
    </row>
    <row r="24" spans="1:43">
      <c r="A24" s="287" t="s">
        <v>22</v>
      </c>
      <c r="B24" s="293">
        <f>K24+S24+AK24</f>
        <v>337.4</v>
      </c>
      <c r="C24" s="287">
        <f>L24+T24+AL24</f>
        <v>15195</v>
      </c>
      <c r="D24" s="287">
        <f>E24+F24+G24+H24</f>
        <v>14290</v>
      </c>
      <c r="E24" s="287">
        <f t="shared" si="28"/>
        <v>2838</v>
      </c>
      <c r="F24" s="287">
        <f t="shared" si="28"/>
        <v>352</v>
      </c>
      <c r="G24" s="287">
        <f t="shared" si="28"/>
        <v>130</v>
      </c>
      <c r="H24" s="287">
        <f t="shared" si="28"/>
        <v>10970</v>
      </c>
      <c r="I24" s="278"/>
      <c r="J24" s="289" t="s">
        <v>22</v>
      </c>
      <c r="K24" s="289">
        <f>46.6+137.7+3.5+19</f>
        <v>206.79999999999998</v>
      </c>
      <c r="L24" s="289">
        <f>1108+6370+101+873</f>
        <v>8452</v>
      </c>
      <c r="M24" s="289">
        <f>1043+5895+95+848</f>
        <v>7881</v>
      </c>
      <c r="N24" s="289">
        <f>53+628+3+2</f>
        <v>686</v>
      </c>
      <c r="O24" s="289">
        <f>0+124</f>
        <v>124</v>
      </c>
      <c r="P24" s="289">
        <f>2+43+1</f>
        <v>46</v>
      </c>
      <c r="Q24" s="289">
        <f>988+5100+92+845</f>
        <v>7025</v>
      </c>
      <c r="R24" s="289" t="s">
        <v>22</v>
      </c>
      <c r="S24" s="289">
        <f>77.1+53.5</f>
        <v>130.6</v>
      </c>
      <c r="T24" s="289">
        <f>2733+4010</f>
        <v>6743</v>
      </c>
      <c r="U24" s="289">
        <f>2606+3803</f>
        <v>6409</v>
      </c>
      <c r="V24" s="289">
        <f>762+1390</f>
        <v>2152</v>
      </c>
      <c r="W24" s="289">
        <f>20+208</f>
        <v>228</v>
      </c>
      <c r="X24" s="289">
        <f>24+60</f>
        <v>84</v>
      </c>
      <c r="Y24" s="289">
        <f>1800+2145</f>
        <v>3945</v>
      </c>
      <c r="Z24" s="300"/>
      <c r="AA24" s="289" t="s">
        <v>22</v>
      </c>
      <c r="AB24" s="289">
        <f>28.1+51.2</f>
        <v>79.300000000000011</v>
      </c>
      <c r="AC24" s="289">
        <f>1366+3890</f>
        <v>5256</v>
      </c>
      <c r="AD24" s="289">
        <f>1287+3693</f>
        <v>4980</v>
      </c>
      <c r="AE24" s="289">
        <f>628+1370</f>
        <v>1998</v>
      </c>
      <c r="AF24" s="289">
        <f>4+198</f>
        <v>202</v>
      </c>
      <c r="AG24" s="289">
        <f>20+60</f>
        <v>80</v>
      </c>
      <c r="AH24" s="289">
        <f>635+2065</f>
        <v>2700</v>
      </c>
      <c r="AI24" s="300"/>
      <c r="AJ24" s="289" t="s">
        <v>22</v>
      </c>
      <c r="AK24" s="290"/>
      <c r="AL24" s="289"/>
      <c r="AM24" s="289"/>
      <c r="AN24" s="289"/>
      <c r="AO24" s="289"/>
      <c r="AP24" s="289"/>
      <c r="AQ24" s="289"/>
    </row>
    <row r="25" spans="1:43">
      <c r="A25" s="287" t="s">
        <v>12</v>
      </c>
      <c r="B25" s="284">
        <f t="shared" ref="B25:H25" si="29">B24/B23*100</f>
        <v>159.15094339622641</v>
      </c>
      <c r="C25" s="284">
        <f t="shared" si="29"/>
        <v>103.05188199389623</v>
      </c>
      <c r="D25" s="284">
        <f t="shared" si="29"/>
        <v>114.00989309079304</v>
      </c>
      <c r="E25" s="284">
        <f t="shared" si="29"/>
        <v>68.983957219251337</v>
      </c>
      <c r="F25" s="284">
        <f t="shared" si="29"/>
        <v>26.486079759217457</v>
      </c>
      <c r="G25" s="284">
        <f t="shared" si="29"/>
        <v>13.333333333333334</v>
      </c>
      <c r="H25" s="284">
        <f t="shared" si="29"/>
        <v>179.36559843034664</v>
      </c>
      <c r="I25" s="278"/>
      <c r="J25" s="289" t="s">
        <v>12</v>
      </c>
      <c r="K25" s="285">
        <f t="shared" ref="K25:Q25" si="30">K24/K23*100</f>
        <v>193.27102803738316</v>
      </c>
      <c r="L25" s="285">
        <f t="shared" si="30"/>
        <v>160.83729781160798</v>
      </c>
      <c r="M25" s="285">
        <f t="shared" si="30"/>
        <v>178.66696894128316</v>
      </c>
      <c r="N25" s="285">
        <f t="shared" si="30"/>
        <v>68.463073852295409</v>
      </c>
      <c r="O25" s="285">
        <f t="shared" si="30"/>
        <v>14.744351961950059</v>
      </c>
      <c r="P25" s="285">
        <f t="shared" si="30"/>
        <v>8.4558823529411775</v>
      </c>
      <c r="Q25" s="285">
        <f t="shared" si="30"/>
        <v>347.08498023715413</v>
      </c>
      <c r="R25" s="289" t="s">
        <v>12</v>
      </c>
      <c r="S25" s="285">
        <f t="shared" ref="S25:Y25" si="31">S24/S23*100</f>
        <v>130.6</v>
      </c>
      <c r="T25" s="285">
        <f t="shared" si="31"/>
        <v>76.192090395480221</v>
      </c>
      <c r="U25" s="285">
        <f t="shared" si="31"/>
        <v>81.404801219357296</v>
      </c>
      <c r="V25" s="285">
        <f t="shared" si="31"/>
        <v>69.509043927648577</v>
      </c>
      <c r="W25" s="285">
        <f t="shared" si="31"/>
        <v>51.583710407239828</v>
      </c>
      <c r="X25" s="285">
        <f t="shared" si="31"/>
        <v>23.728813559322035</v>
      </c>
      <c r="Y25" s="285">
        <f t="shared" si="31"/>
        <v>99.095704596834963</v>
      </c>
      <c r="Z25" s="298"/>
      <c r="AA25" s="289" t="s">
        <v>12</v>
      </c>
      <c r="AB25" s="285">
        <f t="shared" ref="AB25:AH25" si="32">AB24/AB23*100</f>
        <v>79.300000000000011</v>
      </c>
      <c r="AC25" s="285">
        <f t="shared" si="32"/>
        <v>59.389830508474574</v>
      </c>
      <c r="AD25" s="285">
        <f>AD24/AD23*100</f>
        <v>63.254159786612476</v>
      </c>
      <c r="AE25" s="285">
        <f t="shared" si="32"/>
        <v>64.534883720930239</v>
      </c>
      <c r="AF25" s="285">
        <f t="shared" si="32"/>
        <v>45.701357466063349</v>
      </c>
      <c r="AG25" s="285">
        <f t="shared" si="32"/>
        <v>22.598870056497177</v>
      </c>
      <c r="AH25" s="285">
        <f t="shared" si="32"/>
        <v>67.822155237377544</v>
      </c>
      <c r="AI25" s="298"/>
      <c r="AJ25" s="289" t="s">
        <v>12</v>
      </c>
      <c r="AK25" s="285">
        <f t="shared" ref="AK25:AQ25" si="33">AK24/AK23*100</f>
        <v>0</v>
      </c>
      <c r="AL25" s="285">
        <f t="shared" si="33"/>
        <v>0</v>
      </c>
      <c r="AM25" s="285">
        <f t="shared" si="33"/>
        <v>0</v>
      </c>
      <c r="AN25" s="285">
        <f t="shared" si="33"/>
        <v>0</v>
      </c>
      <c r="AO25" s="285">
        <f t="shared" si="33"/>
        <v>0</v>
      </c>
      <c r="AP25" s="285">
        <f t="shared" si="33"/>
        <v>0</v>
      </c>
      <c r="AQ25" s="285">
        <f t="shared" si="33"/>
        <v>0</v>
      </c>
    </row>
    <row r="26" spans="1:43">
      <c r="A26" s="287" t="s">
        <v>23</v>
      </c>
      <c r="B26" s="287">
        <f>K26+S26+AK26</f>
        <v>12</v>
      </c>
      <c r="C26" s="287">
        <f>L26+T26+AL26</f>
        <v>445</v>
      </c>
      <c r="D26" s="287">
        <f>E26+F26+G26+H26</f>
        <v>351</v>
      </c>
      <c r="E26" s="287">
        <f t="shared" ref="E26:H27" si="34">N26+V26+AN26</f>
        <v>56</v>
      </c>
      <c r="F26" s="287">
        <f t="shared" si="34"/>
        <v>80</v>
      </c>
      <c r="G26" s="287">
        <f t="shared" si="34"/>
        <v>33</v>
      </c>
      <c r="H26" s="287">
        <f t="shared" si="34"/>
        <v>182</v>
      </c>
      <c r="I26" s="278"/>
      <c r="J26" s="289" t="s">
        <v>23</v>
      </c>
      <c r="K26" s="290">
        <v>7</v>
      </c>
      <c r="L26" s="289">
        <v>240</v>
      </c>
      <c r="M26" s="289">
        <f>N26+O26+P26+Q26</f>
        <v>182</v>
      </c>
      <c r="N26" s="289">
        <v>22</v>
      </c>
      <c r="O26" s="289">
        <v>51</v>
      </c>
      <c r="P26" s="289">
        <v>22</v>
      </c>
      <c r="Q26" s="289">
        <v>87</v>
      </c>
      <c r="R26" s="289" t="s">
        <v>23</v>
      </c>
      <c r="S26" s="289">
        <v>4</v>
      </c>
      <c r="T26" s="289">
        <v>170</v>
      </c>
      <c r="U26" s="289">
        <f>V26+W26+X26+Y26</f>
        <v>139</v>
      </c>
      <c r="V26" s="289">
        <v>32</v>
      </c>
      <c r="W26" s="289">
        <v>24</v>
      </c>
      <c r="X26" s="289">
        <v>2</v>
      </c>
      <c r="Y26" s="289">
        <v>81</v>
      </c>
      <c r="Z26" s="300"/>
      <c r="AA26" s="289" t="s">
        <v>23</v>
      </c>
      <c r="AB26" s="289">
        <v>4</v>
      </c>
      <c r="AC26" s="289">
        <v>170</v>
      </c>
      <c r="AD26" s="289">
        <f>AE26+AF26+AG26+AH26</f>
        <v>139</v>
      </c>
      <c r="AE26" s="289">
        <v>32</v>
      </c>
      <c r="AF26" s="289">
        <v>24</v>
      </c>
      <c r="AG26" s="289">
        <v>2</v>
      </c>
      <c r="AH26" s="289">
        <v>81</v>
      </c>
      <c r="AI26" s="300"/>
      <c r="AJ26" s="289" t="s">
        <v>23</v>
      </c>
      <c r="AK26" s="290">
        <v>1</v>
      </c>
      <c r="AL26" s="289">
        <v>35</v>
      </c>
      <c r="AM26" s="289">
        <f>AN26+AO26+AP26+AQ26</f>
        <v>30</v>
      </c>
      <c r="AN26" s="289">
        <v>2</v>
      </c>
      <c r="AO26" s="289">
        <v>5</v>
      </c>
      <c r="AP26" s="289">
        <v>9</v>
      </c>
      <c r="AQ26" s="289">
        <v>14</v>
      </c>
    </row>
    <row r="27" spans="1:43">
      <c r="A27" s="287" t="s">
        <v>24</v>
      </c>
      <c r="B27" s="287">
        <f>K27+S27+AK27</f>
        <v>10</v>
      </c>
      <c r="C27" s="287">
        <f>L27+T27+AL27</f>
        <v>455</v>
      </c>
      <c r="D27" s="287">
        <f>E27+F27+G27+H27</f>
        <v>449</v>
      </c>
      <c r="E27" s="287">
        <f t="shared" si="34"/>
        <v>33</v>
      </c>
      <c r="F27" s="287">
        <f t="shared" si="34"/>
        <v>1</v>
      </c>
      <c r="G27" s="287">
        <f t="shared" si="34"/>
        <v>0</v>
      </c>
      <c r="H27" s="287">
        <f t="shared" si="34"/>
        <v>415</v>
      </c>
      <c r="I27" s="278"/>
      <c r="J27" s="289" t="s">
        <v>24</v>
      </c>
      <c r="K27" s="289">
        <f>0</f>
        <v>0</v>
      </c>
      <c r="L27" s="289">
        <f>10</f>
        <v>10</v>
      </c>
      <c r="M27" s="289">
        <f>10</f>
        <v>10</v>
      </c>
      <c r="N27" s="289">
        <f>0</f>
        <v>0</v>
      </c>
      <c r="O27" s="289">
        <f>0</f>
        <v>0</v>
      </c>
      <c r="P27" s="289">
        <f>0</f>
        <v>0</v>
      </c>
      <c r="Q27" s="289">
        <f>10</f>
        <v>10</v>
      </c>
      <c r="R27" s="289" t="s">
        <v>24</v>
      </c>
      <c r="S27" s="289">
        <f>10</f>
        <v>10</v>
      </c>
      <c r="T27" s="289">
        <f>445</f>
        <v>445</v>
      </c>
      <c r="U27" s="289">
        <f>439</f>
        <v>439</v>
      </c>
      <c r="V27" s="289">
        <f>33</f>
        <v>33</v>
      </c>
      <c r="W27" s="289">
        <f>1</f>
        <v>1</v>
      </c>
      <c r="X27" s="289">
        <f>0</f>
        <v>0</v>
      </c>
      <c r="Y27" s="289">
        <f>405</f>
        <v>405</v>
      </c>
      <c r="Z27" s="300"/>
      <c r="AA27" s="289" t="s">
        <v>24</v>
      </c>
      <c r="AB27" s="289"/>
      <c r="AC27" s="289"/>
      <c r="AD27" s="289"/>
      <c r="AE27" s="289"/>
      <c r="AF27" s="289"/>
      <c r="AG27" s="289"/>
      <c r="AH27" s="289"/>
      <c r="AI27" s="300"/>
      <c r="AJ27" s="289" t="s">
        <v>24</v>
      </c>
      <c r="AK27" s="290"/>
      <c r="AL27" s="289"/>
      <c r="AM27" s="289"/>
      <c r="AN27" s="289"/>
      <c r="AO27" s="289"/>
      <c r="AP27" s="289"/>
      <c r="AQ27" s="289"/>
    </row>
    <row r="28" spans="1:43">
      <c r="A28" s="287" t="s">
        <v>12</v>
      </c>
      <c r="B28" s="284">
        <f t="shared" ref="B28:H28" si="35">B27/B26*100</f>
        <v>83.333333333333343</v>
      </c>
      <c r="C28" s="284">
        <f t="shared" si="35"/>
        <v>102.24719101123596</v>
      </c>
      <c r="D28" s="284">
        <f t="shared" si="35"/>
        <v>127.92022792022793</v>
      </c>
      <c r="E28" s="284">
        <f t="shared" si="35"/>
        <v>58.928571428571431</v>
      </c>
      <c r="F28" s="284">
        <f t="shared" si="35"/>
        <v>1.25</v>
      </c>
      <c r="G28" s="284">
        <f t="shared" si="35"/>
        <v>0</v>
      </c>
      <c r="H28" s="284">
        <f t="shared" si="35"/>
        <v>228.02197802197801</v>
      </c>
      <c r="I28" s="278"/>
      <c r="J28" s="289" t="s">
        <v>12</v>
      </c>
      <c r="K28" s="285">
        <f t="shared" ref="K28:P28" si="36">K27/K26*100</f>
        <v>0</v>
      </c>
      <c r="L28" s="285">
        <f t="shared" si="36"/>
        <v>4.1666666666666661</v>
      </c>
      <c r="M28" s="285">
        <f t="shared" si="36"/>
        <v>5.4945054945054945</v>
      </c>
      <c r="N28" s="285">
        <f>N27/N26*100</f>
        <v>0</v>
      </c>
      <c r="O28" s="285">
        <f t="shared" si="36"/>
        <v>0</v>
      </c>
      <c r="P28" s="285">
        <f t="shared" si="36"/>
        <v>0</v>
      </c>
      <c r="Q28" s="285">
        <f>Q27/Q26*100</f>
        <v>11.494252873563218</v>
      </c>
      <c r="R28" s="289" t="s">
        <v>12</v>
      </c>
      <c r="S28" s="285">
        <f t="shared" ref="S28:Y28" si="37">S27/S26*100</f>
        <v>250</v>
      </c>
      <c r="T28" s="285">
        <f t="shared" si="37"/>
        <v>261.76470588235293</v>
      </c>
      <c r="U28" s="285">
        <f t="shared" si="37"/>
        <v>315.82733812949641</v>
      </c>
      <c r="V28" s="285">
        <f t="shared" si="37"/>
        <v>103.125</v>
      </c>
      <c r="W28" s="285">
        <f t="shared" si="37"/>
        <v>4.1666666666666661</v>
      </c>
      <c r="X28" s="285">
        <f t="shared" si="37"/>
        <v>0</v>
      </c>
      <c r="Y28" s="285">
        <f t="shared" si="37"/>
        <v>500</v>
      </c>
      <c r="Z28" s="298"/>
      <c r="AA28" s="289" t="s">
        <v>12</v>
      </c>
      <c r="AB28" s="285">
        <f t="shared" ref="AB28:AH28" si="38">AB27/AB26*100</f>
        <v>0</v>
      </c>
      <c r="AC28" s="285">
        <f t="shared" si="38"/>
        <v>0</v>
      </c>
      <c r="AD28" s="285">
        <f t="shared" si="38"/>
        <v>0</v>
      </c>
      <c r="AE28" s="285">
        <f t="shared" si="38"/>
        <v>0</v>
      </c>
      <c r="AF28" s="285">
        <f t="shared" si="38"/>
        <v>0</v>
      </c>
      <c r="AG28" s="285">
        <f t="shared" si="38"/>
        <v>0</v>
      </c>
      <c r="AH28" s="285">
        <f t="shared" si="38"/>
        <v>0</v>
      </c>
      <c r="AI28" s="298"/>
      <c r="AJ28" s="289" t="s">
        <v>12</v>
      </c>
      <c r="AK28" s="285">
        <f t="shared" ref="AK28:AQ28" si="39">AK27/AK26*100</f>
        <v>0</v>
      </c>
      <c r="AL28" s="285">
        <f t="shared" si="39"/>
        <v>0</v>
      </c>
      <c r="AM28" s="285">
        <f t="shared" si="39"/>
        <v>0</v>
      </c>
      <c r="AN28" s="285">
        <f t="shared" si="39"/>
        <v>0</v>
      </c>
      <c r="AO28" s="285">
        <f t="shared" si="39"/>
        <v>0</v>
      </c>
      <c r="AP28" s="285">
        <f t="shared" si="39"/>
        <v>0</v>
      </c>
      <c r="AQ28" s="285">
        <f t="shared" si="39"/>
        <v>0</v>
      </c>
    </row>
    <row r="29" spans="1:43">
      <c r="A29" s="287" t="s">
        <v>25</v>
      </c>
      <c r="B29" s="287">
        <f>K29+S29+AK29</f>
        <v>52</v>
      </c>
      <c r="C29" s="287">
        <f>L29+T29+AL29</f>
        <v>2960</v>
      </c>
      <c r="D29" s="287">
        <f>E29+F29+G29+H29</f>
        <v>2432</v>
      </c>
      <c r="E29" s="287">
        <f t="shared" ref="E29:H30" si="40">N29+V29+AN29</f>
        <v>196</v>
      </c>
      <c r="F29" s="287">
        <f t="shared" si="40"/>
        <v>306</v>
      </c>
      <c r="G29" s="287">
        <f t="shared" si="40"/>
        <v>241</v>
      </c>
      <c r="H29" s="287">
        <f t="shared" si="40"/>
        <v>1689</v>
      </c>
      <c r="I29" s="278"/>
      <c r="J29" s="289" t="s">
        <v>25</v>
      </c>
      <c r="K29" s="290">
        <v>6</v>
      </c>
      <c r="L29" s="289">
        <v>220</v>
      </c>
      <c r="M29" s="289">
        <f>N29+O29+P29+Q29</f>
        <v>182</v>
      </c>
      <c r="N29" s="289"/>
      <c r="O29" s="289">
        <v>30</v>
      </c>
      <c r="P29" s="289">
        <v>10</v>
      </c>
      <c r="Q29" s="289">
        <f>15+94+33</f>
        <v>142</v>
      </c>
      <c r="R29" s="289" t="s">
        <v>25</v>
      </c>
      <c r="S29" s="289">
        <v>42</v>
      </c>
      <c r="T29" s="289">
        <v>2540</v>
      </c>
      <c r="U29" s="289">
        <f>V29+W29+X29+Y29</f>
        <v>2087</v>
      </c>
      <c r="V29" s="289">
        <f>36+150</f>
        <v>186</v>
      </c>
      <c r="W29" s="289">
        <f>22+224</f>
        <v>246</v>
      </c>
      <c r="X29" s="289">
        <f>3+112+65</f>
        <v>180</v>
      </c>
      <c r="Y29" s="289">
        <f>136+1123+216</f>
        <v>1475</v>
      </c>
      <c r="Z29" s="300"/>
      <c r="AA29" s="289" t="s">
        <v>25</v>
      </c>
      <c r="AB29" s="289">
        <v>4</v>
      </c>
      <c r="AC29" s="289">
        <v>240</v>
      </c>
      <c r="AD29" s="289">
        <f>AE29+AF29+AG29+AH29</f>
        <v>197</v>
      </c>
      <c r="AE29" s="289">
        <v>36</v>
      </c>
      <c r="AF29" s="289">
        <v>22</v>
      </c>
      <c r="AG29" s="289">
        <v>3</v>
      </c>
      <c r="AH29" s="289">
        <v>136</v>
      </c>
      <c r="AI29" s="300"/>
      <c r="AJ29" s="289" t="s">
        <v>25</v>
      </c>
      <c r="AK29" s="285">
        <v>4</v>
      </c>
      <c r="AL29" s="289">
        <v>200</v>
      </c>
      <c r="AM29" s="289">
        <f>AN29+AO29+AP29+AQ29</f>
        <v>163</v>
      </c>
      <c r="AN29" s="289">
        <v>10</v>
      </c>
      <c r="AO29" s="289">
        <v>30</v>
      </c>
      <c r="AP29" s="289">
        <v>51</v>
      </c>
      <c r="AQ29" s="289">
        <v>72</v>
      </c>
    </row>
    <row r="30" spans="1:43">
      <c r="A30" s="287" t="s">
        <v>26</v>
      </c>
      <c r="B30" s="287">
        <f>K30+S30+AK30</f>
        <v>2.4</v>
      </c>
      <c r="C30" s="287">
        <f>L30+T30+AL30</f>
        <v>300</v>
      </c>
      <c r="D30" s="287">
        <f>E30+F30+G30+H30</f>
        <v>297</v>
      </c>
      <c r="E30" s="287">
        <f t="shared" si="40"/>
        <v>0</v>
      </c>
      <c r="F30" s="287">
        <f t="shared" si="40"/>
        <v>0</v>
      </c>
      <c r="G30" s="287">
        <f t="shared" si="40"/>
        <v>2</v>
      </c>
      <c r="H30" s="287">
        <f t="shared" si="40"/>
        <v>295</v>
      </c>
      <c r="I30" s="278"/>
      <c r="J30" s="289" t="s">
        <v>26</v>
      </c>
      <c r="K30" s="289"/>
      <c r="L30" s="289"/>
      <c r="M30" s="289"/>
      <c r="N30" s="289"/>
      <c r="O30" s="289"/>
      <c r="P30" s="289"/>
      <c r="Q30" s="289"/>
      <c r="R30" s="289" t="s">
        <v>26</v>
      </c>
      <c r="S30" s="290">
        <f>2.4</f>
        <v>2.4</v>
      </c>
      <c r="T30" s="289">
        <f>300</f>
        <v>300</v>
      </c>
      <c r="U30" s="289">
        <f>297</f>
        <v>297</v>
      </c>
      <c r="V30" s="289">
        <f>0</f>
        <v>0</v>
      </c>
      <c r="W30" s="289">
        <f>0</f>
        <v>0</v>
      </c>
      <c r="X30" s="289">
        <f>2</f>
        <v>2</v>
      </c>
      <c r="Y30" s="289">
        <f>295</f>
        <v>295</v>
      </c>
      <c r="Z30" s="300"/>
      <c r="AA30" s="289" t="s">
        <v>26</v>
      </c>
      <c r="AB30" s="289"/>
      <c r="AC30" s="289"/>
      <c r="AD30" s="289"/>
      <c r="AE30" s="289"/>
      <c r="AF30" s="289"/>
      <c r="AG30" s="289"/>
      <c r="AH30" s="289"/>
      <c r="AI30" s="300"/>
      <c r="AJ30" s="289" t="s">
        <v>26</v>
      </c>
      <c r="AK30" s="290"/>
      <c r="AL30" s="289"/>
      <c r="AM30" s="289"/>
      <c r="AN30" s="289"/>
      <c r="AO30" s="289"/>
      <c r="AP30" s="289"/>
      <c r="AQ30" s="289"/>
    </row>
    <row r="31" spans="1:43">
      <c r="A31" s="287" t="s">
        <v>12</v>
      </c>
      <c r="B31" s="284">
        <f t="shared" ref="B31:H31" si="41">B30/B29*100</f>
        <v>4.615384615384615</v>
      </c>
      <c r="C31" s="284">
        <f t="shared" si="41"/>
        <v>10.135135135135135</v>
      </c>
      <c r="D31" s="284">
        <f t="shared" si="41"/>
        <v>12.212171052631579</v>
      </c>
      <c r="E31" s="284">
        <f t="shared" si="41"/>
        <v>0</v>
      </c>
      <c r="F31" s="284">
        <f t="shared" si="41"/>
        <v>0</v>
      </c>
      <c r="G31" s="284">
        <f t="shared" si="41"/>
        <v>0.82987551867219922</v>
      </c>
      <c r="H31" s="284">
        <f t="shared" si="41"/>
        <v>17.465956187092953</v>
      </c>
      <c r="I31" s="278"/>
      <c r="J31" s="289" t="s">
        <v>12</v>
      </c>
      <c r="K31" s="285">
        <f t="shared" ref="K31:Q31" si="42">K30/K29*100</f>
        <v>0</v>
      </c>
      <c r="L31" s="285">
        <f t="shared" si="42"/>
        <v>0</v>
      </c>
      <c r="M31" s="285">
        <f t="shared" si="42"/>
        <v>0</v>
      </c>
      <c r="N31" s="285" t="e">
        <f>N30/N29*100</f>
        <v>#DIV/0!</v>
      </c>
      <c r="O31" s="285">
        <f t="shared" si="42"/>
        <v>0</v>
      </c>
      <c r="P31" s="285">
        <f t="shared" si="42"/>
        <v>0</v>
      </c>
      <c r="Q31" s="285">
        <f t="shared" si="42"/>
        <v>0</v>
      </c>
      <c r="R31" s="289" t="s">
        <v>12</v>
      </c>
      <c r="S31" s="285">
        <f t="shared" ref="S31:Y31" si="43">S30/S29*100</f>
        <v>5.7142857142857144</v>
      </c>
      <c r="T31" s="285">
        <f t="shared" si="43"/>
        <v>11.811023622047244</v>
      </c>
      <c r="U31" s="285">
        <f t="shared" si="43"/>
        <v>14.230953521801629</v>
      </c>
      <c r="V31" s="285">
        <f t="shared" si="43"/>
        <v>0</v>
      </c>
      <c r="W31" s="285">
        <f t="shared" si="43"/>
        <v>0</v>
      </c>
      <c r="X31" s="285">
        <f t="shared" si="43"/>
        <v>1.1111111111111112</v>
      </c>
      <c r="Y31" s="285">
        <f t="shared" si="43"/>
        <v>20</v>
      </c>
      <c r="Z31" s="298"/>
      <c r="AA31" s="289" t="s">
        <v>12</v>
      </c>
      <c r="AB31" s="285">
        <f t="shared" ref="AB31:AH31" si="44">AB30/AB29*100</f>
        <v>0</v>
      </c>
      <c r="AC31" s="285">
        <f t="shared" si="44"/>
        <v>0</v>
      </c>
      <c r="AD31" s="285">
        <f t="shared" si="44"/>
        <v>0</v>
      </c>
      <c r="AE31" s="285">
        <f t="shared" si="44"/>
        <v>0</v>
      </c>
      <c r="AF31" s="285">
        <f t="shared" si="44"/>
        <v>0</v>
      </c>
      <c r="AG31" s="285">
        <f t="shared" si="44"/>
        <v>0</v>
      </c>
      <c r="AH31" s="285">
        <f t="shared" si="44"/>
        <v>0</v>
      </c>
      <c r="AI31" s="298"/>
      <c r="AJ31" s="289" t="s">
        <v>12</v>
      </c>
      <c r="AK31" s="285">
        <f t="shared" ref="AK31:AQ31" si="45">AK30/AK29*100</f>
        <v>0</v>
      </c>
      <c r="AL31" s="285">
        <f t="shared" si="45"/>
        <v>0</v>
      </c>
      <c r="AM31" s="285">
        <f t="shared" si="45"/>
        <v>0</v>
      </c>
      <c r="AN31" s="285">
        <f t="shared" si="45"/>
        <v>0</v>
      </c>
      <c r="AO31" s="285">
        <f t="shared" si="45"/>
        <v>0</v>
      </c>
      <c r="AP31" s="285">
        <f t="shared" si="45"/>
        <v>0</v>
      </c>
      <c r="AQ31" s="285">
        <f t="shared" si="45"/>
        <v>0</v>
      </c>
    </row>
    <row r="32" spans="1:43">
      <c r="A32" s="287" t="s">
        <v>27</v>
      </c>
      <c r="B32" s="287">
        <f>K32+S32+AK32</f>
        <v>1.2</v>
      </c>
      <c r="C32" s="287">
        <f>L32+T32+AL32</f>
        <v>170</v>
      </c>
      <c r="D32" s="287">
        <f>E32+F32+G32+H32</f>
        <v>127</v>
      </c>
      <c r="E32" s="287">
        <f t="shared" ref="E32:H33" si="46">N32+V32+AN32</f>
        <v>21</v>
      </c>
      <c r="F32" s="287">
        <f t="shared" si="46"/>
        <v>40</v>
      </c>
      <c r="G32" s="287">
        <f t="shared" si="46"/>
        <v>23</v>
      </c>
      <c r="H32" s="287">
        <f t="shared" si="46"/>
        <v>43</v>
      </c>
      <c r="I32" s="278"/>
      <c r="J32" s="289" t="s">
        <v>27</v>
      </c>
      <c r="K32" s="289"/>
      <c r="L32" s="289"/>
      <c r="M32" s="289">
        <v>0</v>
      </c>
      <c r="N32" s="289"/>
      <c r="O32" s="289"/>
      <c r="P32" s="289"/>
      <c r="Q32" s="289"/>
      <c r="R32" s="289" t="s">
        <v>27</v>
      </c>
      <c r="S32" s="289">
        <v>1</v>
      </c>
      <c r="T32" s="289">
        <v>160</v>
      </c>
      <c r="U32" s="289">
        <f>V32+W32+X32+Y32</f>
        <v>120</v>
      </c>
      <c r="V32" s="289">
        <v>20</v>
      </c>
      <c r="W32" s="289">
        <v>39</v>
      </c>
      <c r="X32" s="289">
        <v>21</v>
      </c>
      <c r="Y32" s="289">
        <v>40</v>
      </c>
      <c r="Z32" s="300"/>
      <c r="AA32" s="289" t="s">
        <v>27</v>
      </c>
      <c r="AB32" s="289">
        <v>1</v>
      </c>
      <c r="AC32" s="289">
        <v>160</v>
      </c>
      <c r="AD32" s="289">
        <f>AE32+AF32+AG32+AH32</f>
        <v>120</v>
      </c>
      <c r="AE32" s="289">
        <v>20</v>
      </c>
      <c r="AF32" s="289">
        <v>39</v>
      </c>
      <c r="AG32" s="289">
        <v>21</v>
      </c>
      <c r="AH32" s="289">
        <v>40</v>
      </c>
      <c r="AI32" s="300"/>
      <c r="AJ32" s="289" t="s">
        <v>27</v>
      </c>
      <c r="AK32" s="285">
        <v>0.2</v>
      </c>
      <c r="AL32" s="289">
        <v>10</v>
      </c>
      <c r="AM32" s="289">
        <f>AN32+AO32+AP32+AQ32</f>
        <v>7</v>
      </c>
      <c r="AN32" s="289">
        <v>1</v>
      </c>
      <c r="AO32" s="289">
        <v>1</v>
      </c>
      <c r="AP32" s="289">
        <v>2</v>
      </c>
      <c r="AQ32" s="289">
        <v>3</v>
      </c>
    </row>
    <row r="33" spans="1:43">
      <c r="A33" s="287" t="s">
        <v>28</v>
      </c>
      <c r="B33" s="287">
        <f>K33+S33+AK33</f>
        <v>0</v>
      </c>
      <c r="C33" s="287">
        <f>L33+T33+AL33</f>
        <v>0</v>
      </c>
      <c r="D33" s="287">
        <f>E33+F33+G33+H33</f>
        <v>0</v>
      </c>
      <c r="E33" s="287">
        <f t="shared" si="46"/>
        <v>0</v>
      </c>
      <c r="F33" s="287">
        <f t="shared" si="46"/>
        <v>0</v>
      </c>
      <c r="G33" s="287">
        <f t="shared" si="46"/>
        <v>0</v>
      </c>
      <c r="H33" s="287">
        <f t="shared" si="46"/>
        <v>0</v>
      </c>
      <c r="I33" s="278"/>
      <c r="J33" s="289" t="s">
        <v>28</v>
      </c>
      <c r="K33" s="289"/>
      <c r="L33" s="289"/>
      <c r="M33" s="289"/>
      <c r="N33" s="289"/>
      <c r="O33" s="289"/>
      <c r="P33" s="289"/>
      <c r="Q33" s="289"/>
      <c r="R33" s="289" t="s">
        <v>28</v>
      </c>
      <c r="S33" s="289"/>
      <c r="T33" s="289"/>
      <c r="U33" s="289"/>
      <c r="V33" s="289"/>
      <c r="W33" s="289"/>
      <c r="X33" s="289"/>
      <c r="Y33" s="289"/>
      <c r="Z33" s="300"/>
      <c r="AA33" s="289" t="s">
        <v>28</v>
      </c>
      <c r="AB33" s="289">
        <v>0</v>
      </c>
      <c r="AC33" s="289">
        <v>0</v>
      </c>
      <c r="AD33" s="289">
        <v>0</v>
      </c>
      <c r="AE33" s="289">
        <v>0</v>
      </c>
      <c r="AF33" s="289">
        <v>0</v>
      </c>
      <c r="AG33" s="289">
        <v>0</v>
      </c>
      <c r="AH33" s="289">
        <v>0</v>
      </c>
      <c r="AI33" s="300"/>
      <c r="AJ33" s="289" t="s">
        <v>28</v>
      </c>
      <c r="AK33" s="285"/>
      <c r="AL33" s="289"/>
      <c r="AM33" s="289"/>
      <c r="AN33" s="289"/>
      <c r="AO33" s="289"/>
      <c r="AP33" s="289"/>
      <c r="AQ33" s="289"/>
    </row>
    <row r="34" spans="1:43">
      <c r="A34" s="287" t="s">
        <v>12</v>
      </c>
      <c r="B34" s="284">
        <f t="shared" ref="B34:H34" si="47">B33/B32*100</f>
        <v>0</v>
      </c>
      <c r="C34" s="284">
        <f t="shared" si="47"/>
        <v>0</v>
      </c>
      <c r="D34" s="284">
        <f t="shared" si="47"/>
        <v>0</v>
      </c>
      <c r="E34" s="284">
        <f t="shared" si="47"/>
        <v>0</v>
      </c>
      <c r="F34" s="284">
        <f t="shared" si="47"/>
        <v>0</v>
      </c>
      <c r="G34" s="284">
        <f t="shared" si="47"/>
        <v>0</v>
      </c>
      <c r="H34" s="284">
        <f t="shared" si="47"/>
        <v>0</v>
      </c>
      <c r="I34" s="278"/>
      <c r="J34" s="289" t="s">
        <v>12</v>
      </c>
      <c r="K34" s="285" t="e">
        <f t="shared" ref="K34:Q34" si="48">K33/K32*100</f>
        <v>#DIV/0!</v>
      </c>
      <c r="L34" s="285" t="e">
        <f t="shared" si="48"/>
        <v>#DIV/0!</v>
      </c>
      <c r="M34" s="285" t="e">
        <f t="shared" si="48"/>
        <v>#DIV/0!</v>
      </c>
      <c r="N34" s="285" t="e">
        <f t="shared" si="48"/>
        <v>#DIV/0!</v>
      </c>
      <c r="O34" s="285" t="e">
        <f t="shared" si="48"/>
        <v>#DIV/0!</v>
      </c>
      <c r="P34" s="285" t="e">
        <f t="shared" si="48"/>
        <v>#DIV/0!</v>
      </c>
      <c r="Q34" s="285" t="e">
        <f t="shared" si="48"/>
        <v>#DIV/0!</v>
      </c>
      <c r="R34" s="289" t="s">
        <v>12</v>
      </c>
      <c r="S34" s="285">
        <f t="shared" ref="S34:Y34" si="49">S33/S32*100</f>
        <v>0</v>
      </c>
      <c r="T34" s="285">
        <f t="shared" si="49"/>
        <v>0</v>
      </c>
      <c r="U34" s="285">
        <f t="shared" si="49"/>
        <v>0</v>
      </c>
      <c r="V34" s="285">
        <f t="shared" si="49"/>
        <v>0</v>
      </c>
      <c r="W34" s="285">
        <f t="shared" si="49"/>
        <v>0</v>
      </c>
      <c r="X34" s="285">
        <f t="shared" si="49"/>
        <v>0</v>
      </c>
      <c r="Y34" s="285">
        <f t="shared" si="49"/>
        <v>0</v>
      </c>
      <c r="Z34" s="298"/>
      <c r="AA34" s="289" t="s">
        <v>12</v>
      </c>
      <c r="AB34" s="285">
        <f t="shared" ref="AB34:AH34" si="50">AB33/AB32*100</f>
        <v>0</v>
      </c>
      <c r="AC34" s="285">
        <f t="shared" si="50"/>
        <v>0</v>
      </c>
      <c r="AD34" s="285">
        <f t="shared" si="50"/>
        <v>0</v>
      </c>
      <c r="AE34" s="285">
        <f t="shared" si="50"/>
        <v>0</v>
      </c>
      <c r="AF34" s="285">
        <f t="shared" si="50"/>
        <v>0</v>
      </c>
      <c r="AG34" s="285">
        <f t="shared" si="50"/>
        <v>0</v>
      </c>
      <c r="AH34" s="285">
        <f t="shared" si="50"/>
        <v>0</v>
      </c>
      <c r="AI34" s="298"/>
      <c r="AJ34" s="289" t="s">
        <v>12</v>
      </c>
      <c r="AK34" s="285">
        <f t="shared" ref="AK34:AQ34" si="51">AK33/AK32*100</f>
        <v>0</v>
      </c>
      <c r="AL34" s="285">
        <f t="shared" si="51"/>
        <v>0</v>
      </c>
      <c r="AM34" s="285">
        <f t="shared" si="51"/>
        <v>0</v>
      </c>
      <c r="AN34" s="285">
        <f t="shared" si="51"/>
        <v>0</v>
      </c>
      <c r="AO34" s="285">
        <f t="shared" si="51"/>
        <v>0</v>
      </c>
      <c r="AP34" s="285">
        <f t="shared" si="51"/>
        <v>0</v>
      </c>
      <c r="AQ34" s="285">
        <f t="shared" si="51"/>
        <v>0</v>
      </c>
    </row>
    <row r="35" spans="1:43">
      <c r="A35" s="287" t="s">
        <v>29</v>
      </c>
      <c r="B35" s="287">
        <f>K35+S35+AK35</f>
        <v>64</v>
      </c>
      <c r="C35" s="287">
        <f>L35+T35+AL35</f>
        <v>4365</v>
      </c>
      <c r="D35" s="287">
        <f>E35+F35+G35+H35</f>
        <v>3551</v>
      </c>
      <c r="E35" s="287">
        <f t="shared" ref="E35:H36" si="52">N35+V35+AN35</f>
        <v>0</v>
      </c>
      <c r="F35" s="287">
        <f t="shared" si="52"/>
        <v>70</v>
      </c>
      <c r="G35" s="287">
        <f t="shared" si="52"/>
        <v>945</v>
      </c>
      <c r="H35" s="287">
        <f t="shared" si="52"/>
        <v>2536</v>
      </c>
      <c r="I35" s="278"/>
      <c r="J35" s="289" t="s">
        <v>29</v>
      </c>
      <c r="K35" s="289">
        <v>2</v>
      </c>
      <c r="L35" s="289">
        <v>60</v>
      </c>
      <c r="M35" s="289">
        <f>N35+O35+P35+Q35</f>
        <v>51</v>
      </c>
      <c r="N35" s="289"/>
      <c r="O35" s="289"/>
      <c r="P35" s="289">
        <v>15</v>
      </c>
      <c r="Q35" s="289">
        <v>36</v>
      </c>
      <c r="R35" s="289" t="s">
        <v>29</v>
      </c>
      <c r="S35" s="289">
        <v>61</v>
      </c>
      <c r="T35" s="289">
        <v>4250</v>
      </c>
      <c r="U35" s="289">
        <f>V35+W35+X35+Y35</f>
        <v>3453</v>
      </c>
      <c r="V35" s="289"/>
      <c r="W35" s="289">
        <v>69</v>
      </c>
      <c r="X35" s="289">
        <v>917</v>
      </c>
      <c r="Y35" s="289">
        <v>2467</v>
      </c>
      <c r="Z35" s="300"/>
      <c r="AA35" s="289" t="s">
        <v>29</v>
      </c>
      <c r="AB35" s="289"/>
      <c r="AC35" s="289"/>
      <c r="AD35" s="289">
        <f>AE35+AF35+AG35+AH35</f>
        <v>0</v>
      </c>
      <c r="AE35" s="289"/>
      <c r="AF35" s="289"/>
      <c r="AG35" s="289"/>
      <c r="AH35" s="289"/>
      <c r="AI35" s="300"/>
      <c r="AJ35" s="289" t="s">
        <v>29</v>
      </c>
      <c r="AK35" s="285">
        <v>1</v>
      </c>
      <c r="AL35" s="289">
        <v>55</v>
      </c>
      <c r="AM35" s="289">
        <f>AN35+AO35+AP35+AQ35</f>
        <v>47</v>
      </c>
      <c r="AN35" s="289"/>
      <c r="AO35" s="289">
        <v>1</v>
      </c>
      <c r="AP35" s="289">
        <v>13</v>
      </c>
      <c r="AQ35" s="289">
        <v>33</v>
      </c>
    </row>
    <row r="36" spans="1:43">
      <c r="A36" s="287" t="s">
        <v>30</v>
      </c>
      <c r="B36" s="287">
        <f>K36+S36+AK36</f>
        <v>5.7</v>
      </c>
      <c r="C36" s="287">
        <f>L36+T36+AL36</f>
        <v>804</v>
      </c>
      <c r="D36" s="287">
        <f>E36+F36+G36+H36</f>
        <v>772</v>
      </c>
      <c r="E36" s="287">
        <f t="shared" si="52"/>
        <v>6</v>
      </c>
      <c r="F36" s="287">
        <f t="shared" si="52"/>
        <v>0</v>
      </c>
      <c r="G36" s="287">
        <f t="shared" si="52"/>
        <v>0</v>
      </c>
      <c r="H36" s="287">
        <f t="shared" si="52"/>
        <v>766</v>
      </c>
      <c r="I36" s="278"/>
      <c r="J36" s="289" t="s">
        <v>30</v>
      </c>
      <c r="K36" s="289">
        <f>0</f>
        <v>0</v>
      </c>
      <c r="L36" s="289">
        <f>6</f>
        <v>6</v>
      </c>
      <c r="M36" s="289">
        <f>6</f>
        <v>6</v>
      </c>
      <c r="N36" s="289">
        <f>0</f>
        <v>0</v>
      </c>
      <c r="O36" s="289">
        <f>0</f>
        <v>0</v>
      </c>
      <c r="P36" s="289">
        <f>0</f>
        <v>0</v>
      </c>
      <c r="Q36" s="289">
        <f>6</f>
        <v>6</v>
      </c>
      <c r="R36" s="289" t="s">
        <v>30</v>
      </c>
      <c r="S36" s="289">
        <f>5.7</f>
        <v>5.7</v>
      </c>
      <c r="T36" s="289">
        <f>798</f>
        <v>798</v>
      </c>
      <c r="U36" s="289">
        <f>766</f>
        <v>766</v>
      </c>
      <c r="V36" s="289">
        <f>6</f>
        <v>6</v>
      </c>
      <c r="W36" s="289">
        <f>0</f>
        <v>0</v>
      </c>
      <c r="X36" s="289">
        <f>0</f>
        <v>0</v>
      </c>
      <c r="Y36" s="289">
        <f>760</f>
        <v>760</v>
      </c>
      <c r="Z36" s="300"/>
      <c r="AA36" s="289" t="s">
        <v>30</v>
      </c>
      <c r="AB36" s="289"/>
      <c r="AC36" s="289"/>
      <c r="AD36" s="289"/>
      <c r="AE36" s="289"/>
      <c r="AF36" s="289"/>
      <c r="AG36" s="289"/>
      <c r="AH36" s="289"/>
      <c r="AI36" s="300"/>
      <c r="AJ36" s="289" t="s">
        <v>30</v>
      </c>
      <c r="AK36" s="290"/>
      <c r="AL36" s="289"/>
      <c r="AM36" s="289"/>
      <c r="AN36" s="289"/>
      <c r="AO36" s="289"/>
      <c r="AP36" s="289"/>
      <c r="AQ36" s="289"/>
    </row>
    <row r="37" spans="1:43">
      <c r="A37" s="287" t="s">
        <v>12</v>
      </c>
      <c r="B37" s="284">
        <f t="shared" ref="B37:H37" si="53">B36/B35*100</f>
        <v>8.90625</v>
      </c>
      <c r="C37" s="284">
        <f t="shared" si="53"/>
        <v>18.419243986254298</v>
      </c>
      <c r="D37" s="284">
        <f t="shared" si="53"/>
        <v>21.740354829625456</v>
      </c>
      <c r="E37" s="284" t="e">
        <f>E36/E35*100</f>
        <v>#DIV/0!</v>
      </c>
      <c r="F37" s="284">
        <f t="shared" si="53"/>
        <v>0</v>
      </c>
      <c r="G37" s="284">
        <f t="shared" si="53"/>
        <v>0</v>
      </c>
      <c r="H37" s="284">
        <f t="shared" si="53"/>
        <v>30.205047318611989</v>
      </c>
      <c r="I37" s="278"/>
      <c r="J37" s="289" t="s">
        <v>12</v>
      </c>
      <c r="K37" s="285">
        <f t="shared" ref="K37:Q37" si="54">K36/K35*100</f>
        <v>0</v>
      </c>
      <c r="L37" s="285">
        <f t="shared" si="54"/>
        <v>10</v>
      </c>
      <c r="M37" s="285">
        <f t="shared" si="54"/>
        <v>11.76470588235294</v>
      </c>
      <c r="N37" s="285" t="e">
        <f t="shared" si="54"/>
        <v>#DIV/0!</v>
      </c>
      <c r="O37" s="285" t="e">
        <f t="shared" si="54"/>
        <v>#DIV/0!</v>
      </c>
      <c r="P37" s="285">
        <f t="shared" si="54"/>
        <v>0</v>
      </c>
      <c r="Q37" s="285">
        <f t="shared" si="54"/>
        <v>16.666666666666664</v>
      </c>
      <c r="R37" s="289" t="s">
        <v>12</v>
      </c>
      <c r="S37" s="285">
        <f t="shared" ref="S37:Y37" si="55">S36/S35*100</f>
        <v>9.3442622950819683</v>
      </c>
      <c r="T37" s="285">
        <f t="shared" si="55"/>
        <v>18.776470588235295</v>
      </c>
      <c r="U37" s="285">
        <f t="shared" si="55"/>
        <v>22.18360845641471</v>
      </c>
      <c r="V37" s="285" t="e">
        <f t="shared" si="55"/>
        <v>#DIV/0!</v>
      </c>
      <c r="W37" s="285">
        <f>W36/W35*100</f>
        <v>0</v>
      </c>
      <c r="X37" s="285">
        <f t="shared" si="55"/>
        <v>0</v>
      </c>
      <c r="Y37" s="285">
        <f t="shared" si="55"/>
        <v>30.806647750304013</v>
      </c>
      <c r="Z37" s="298"/>
      <c r="AA37" s="289" t="s">
        <v>12</v>
      </c>
      <c r="AB37" s="285" t="e">
        <f t="shared" ref="AB37:AH37" si="56">AB36/AB35*100</f>
        <v>#DIV/0!</v>
      </c>
      <c r="AC37" s="285" t="e">
        <f t="shared" si="56"/>
        <v>#DIV/0!</v>
      </c>
      <c r="AD37" s="285" t="e">
        <f t="shared" si="56"/>
        <v>#DIV/0!</v>
      </c>
      <c r="AE37" s="285" t="e">
        <f t="shared" si="56"/>
        <v>#DIV/0!</v>
      </c>
      <c r="AF37" s="285" t="e">
        <f t="shared" si="56"/>
        <v>#DIV/0!</v>
      </c>
      <c r="AG37" s="285" t="e">
        <f t="shared" si="56"/>
        <v>#DIV/0!</v>
      </c>
      <c r="AH37" s="285" t="e">
        <f t="shared" si="56"/>
        <v>#DIV/0!</v>
      </c>
      <c r="AI37" s="298"/>
      <c r="AJ37" s="289" t="s">
        <v>12</v>
      </c>
      <c r="AK37" s="285">
        <f t="shared" ref="AK37:AQ37" si="57">AK36/AK35*100</f>
        <v>0</v>
      </c>
      <c r="AL37" s="285">
        <f t="shared" si="57"/>
        <v>0</v>
      </c>
      <c r="AM37" s="285">
        <f t="shared" si="57"/>
        <v>0</v>
      </c>
      <c r="AN37" s="285" t="e">
        <f t="shared" si="57"/>
        <v>#DIV/0!</v>
      </c>
      <c r="AO37" s="285">
        <f t="shared" si="57"/>
        <v>0</v>
      </c>
      <c r="AP37" s="285">
        <f t="shared" si="57"/>
        <v>0</v>
      </c>
      <c r="AQ37" s="285">
        <f t="shared" si="57"/>
        <v>0</v>
      </c>
    </row>
    <row r="38" spans="1:43">
      <c r="A38" s="287" t="s">
        <v>31</v>
      </c>
      <c r="B38" s="287">
        <f>K38+S38+AK38</f>
        <v>190</v>
      </c>
      <c r="C38" s="287">
        <f>L38+T38+AL38</f>
        <v>7570</v>
      </c>
      <c r="D38" s="287">
        <f>E38+F38+G38+H38</f>
        <v>6009</v>
      </c>
      <c r="E38" s="287">
        <f>N38+V38+AN38</f>
        <v>572</v>
      </c>
      <c r="F38" s="287">
        <f t="shared" ref="F38:H39" si="58">O38+W38+AO38</f>
        <v>946</v>
      </c>
      <c r="G38" s="287">
        <f t="shared" si="58"/>
        <v>457</v>
      </c>
      <c r="H38" s="287">
        <f t="shared" si="58"/>
        <v>4034</v>
      </c>
      <c r="I38" s="278"/>
      <c r="J38" s="289" t="s">
        <v>31</v>
      </c>
      <c r="K38" s="289">
        <v>78</v>
      </c>
      <c r="L38" s="289">
        <v>2450</v>
      </c>
      <c r="M38" s="289">
        <f>N38+O38+P38+Q38</f>
        <v>2028</v>
      </c>
      <c r="N38" s="289">
        <v>155</v>
      </c>
      <c r="O38" s="289">
        <v>459</v>
      </c>
      <c r="P38" s="289">
        <v>182</v>
      </c>
      <c r="Q38" s="289">
        <v>1232</v>
      </c>
      <c r="R38" s="289" t="s">
        <v>31</v>
      </c>
      <c r="S38" s="289">
        <v>106</v>
      </c>
      <c r="T38" s="289">
        <v>4640</v>
      </c>
      <c r="U38" s="289">
        <f>V38+W38+X38+Y38</f>
        <v>3416</v>
      </c>
      <c r="V38" s="289">
        <v>399</v>
      </c>
      <c r="W38" s="289">
        <v>434</v>
      </c>
      <c r="X38" s="289">
        <v>185</v>
      </c>
      <c r="Y38" s="289">
        <v>2398</v>
      </c>
      <c r="Z38" s="300"/>
      <c r="AA38" s="289" t="s">
        <v>31</v>
      </c>
      <c r="AB38" s="289">
        <v>6</v>
      </c>
      <c r="AC38" s="289">
        <v>350</v>
      </c>
      <c r="AD38" s="289">
        <f>AE38+AF38+AG38+AH38</f>
        <v>237</v>
      </c>
      <c r="AE38" s="289">
        <v>76</v>
      </c>
      <c r="AF38" s="289">
        <f>40-AF29</f>
        <v>18</v>
      </c>
      <c r="AG38" s="289">
        <v>17</v>
      </c>
      <c r="AH38" s="289">
        <v>126</v>
      </c>
      <c r="AI38" s="300"/>
      <c r="AJ38" s="289" t="s">
        <v>31</v>
      </c>
      <c r="AK38" s="285">
        <v>6</v>
      </c>
      <c r="AL38" s="289">
        <v>480</v>
      </c>
      <c r="AM38" s="289">
        <f>AN38+AO38+AP38+AQ38</f>
        <v>565</v>
      </c>
      <c r="AN38" s="289">
        <v>18</v>
      </c>
      <c r="AO38" s="289">
        <v>53</v>
      </c>
      <c r="AP38" s="289">
        <v>90</v>
      </c>
      <c r="AQ38" s="289">
        <v>404</v>
      </c>
    </row>
    <row r="39" spans="1:43">
      <c r="A39" s="287" t="s">
        <v>32</v>
      </c>
      <c r="B39" s="293">
        <f>K39+S39+AK39</f>
        <v>7.8000000000000007</v>
      </c>
      <c r="C39" s="287">
        <f>L39+T39+AL39</f>
        <v>4743</v>
      </c>
      <c r="D39" s="287">
        <f>E39+F39+G39+H39</f>
        <v>4185</v>
      </c>
      <c r="E39" s="287">
        <f>N39+V39+AN39</f>
        <v>1008</v>
      </c>
      <c r="F39" s="287">
        <f>O39+W39+AO39</f>
        <v>625</v>
      </c>
      <c r="G39" s="287">
        <f t="shared" si="58"/>
        <v>125</v>
      </c>
      <c r="H39" s="287">
        <f t="shared" si="58"/>
        <v>2427</v>
      </c>
      <c r="I39" s="278"/>
      <c r="J39" s="289" t="s">
        <v>32</v>
      </c>
      <c r="K39" s="290">
        <f>6.7</f>
        <v>6.7</v>
      </c>
      <c r="L39" s="289">
        <f>962+2400+2+658+272</f>
        <v>4294</v>
      </c>
      <c r="M39" s="289">
        <f>833+2055+2+637+246</f>
        <v>3773</v>
      </c>
      <c r="N39" s="289">
        <f>184+458+231+117</f>
        <v>990</v>
      </c>
      <c r="O39" s="289">
        <f>79+479+38+26</f>
        <v>622</v>
      </c>
      <c r="P39" s="289">
        <f>5+100+11+8</f>
        <v>124</v>
      </c>
      <c r="Q39" s="289">
        <f>565+1018+2+358+95</f>
        <v>2038</v>
      </c>
      <c r="R39" s="289" t="s">
        <v>32</v>
      </c>
      <c r="S39" s="290">
        <f>1.1</f>
        <v>1.1000000000000001</v>
      </c>
      <c r="T39" s="289">
        <f>409+40</f>
        <v>449</v>
      </c>
      <c r="U39" s="289">
        <f>384+27</f>
        <v>411</v>
      </c>
      <c r="V39" s="289">
        <f>8+10</f>
        <v>18</v>
      </c>
      <c r="W39" s="289">
        <f>1+2</f>
        <v>3</v>
      </c>
      <c r="X39" s="289">
        <f>1</f>
        <v>1</v>
      </c>
      <c r="Y39" s="294">
        <f>374+15</f>
        <v>389</v>
      </c>
      <c r="Z39" s="300"/>
      <c r="AA39" s="289" t="s">
        <v>32</v>
      </c>
      <c r="AB39" s="289">
        <f>0</f>
        <v>0</v>
      </c>
      <c r="AC39" s="289">
        <f>6+40</f>
        <v>46</v>
      </c>
      <c r="AD39" s="289">
        <f>6+27</f>
        <v>33</v>
      </c>
      <c r="AE39" s="289">
        <f>0+10</f>
        <v>10</v>
      </c>
      <c r="AF39" s="289">
        <f>0+2</f>
        <v>2</v>
      </c>
      <c r="AG39" s="289">
        <f>0</f>
        <v>0</v>
      </c>
      <c r="AH39" s="289">
        <f>6+15</f>
        <v>21</v>
      </c>
      <c r="AI39" s="300"/>
      <c r="AJ39" s="289" t="s">
        <v>32</v>
      </c>
      <c r="AK39" s="290"/>
      <c r="AL39" s="289"/>
      <c r="AM39" s="289"/>
      <c r="AN39" s="289"/>
      <c r="AO39" s="289"/>
      <c r="AP39" s="289"/>
      <c r="AQ39" s="289"/>
    </row>
    <row r="40" spans="1:43">
      <c r="A40" s="287" t="s">
        <v>12</v>
      </c>
      <c r="B40" s="284">
        <f t="shared" ref="B40:H40" si="59">B39/B38*100</f>
        <v>4.1052631578947372</v>
      </c>
      <c r="C40" s="284">
        <f t="shared" si="59"/>
        <v>62.655217965653897</v>
      </c>
      <c r="D40" s="284">
        <f t="shared" si="59"/>
        <v>69.645531702446334</v>
      </c>
      <c r="E40" s="284">
        <f t="shared" si="59"/>
        <v>176.22377622377624</v>
      </c>
      <c r="F40" s="284">
        <f t="shared" si="59"/>
        <v>66.06765327695561</v>
      </c>
      <c r="G40" s="284">
        <f t="shared" si="59"/>
        <v>27.352297592997811</v>
      </c>
      <c r="H40" s="284">
        <f t="shared" si="59"/>
        <v>60.163609320773425</v>
      </c>
      <c r="I40" s="278"/>
      <c r="J40" s="289" t="s">
        <v>12</v>
      </c>
      <c r="K40" s="285">
        <f t="shared" ref="K40:Q40" si="60">K39/K38*100</f>
        <v>8.5897435897435894</v>
      </c>
      <c r="L40" s="285">
        <f>L39/L38*100</f>
        <v>175.26530612244898</v>
      </c>
      <c r="M40" s="285">
        <f t="shared" si="60"/>
        <v>186.04536489151872</v>
      </c>
      <c r="N40" s="285">
        <f t="shared" si="60"/>
        <v>638.70967741935476</v>
      </c>
      <c r="O40" s="285">
        <f t="shared" si="60"/>
        <v>135.51198257080611</v>
      </c>
      <c r="P40" s="285">
        <f t="shared" si="60"/>
        <v>68.131868131868131</v>
      </c>
      <c r="Q40" s="285">
        <f t="shared" si="60"/>
        <v>165.42207792207793</v>
      </c>
      <c r="R40" s="289" t="s">
        <v>12</v>
      </c>
      <c r="S40" s="285">
        <f t="shared" ref="S40:Y40" si="61">S39/S38*100</f>
        <v>1.037735849056604</v>
      </c>
      <c r="T40" s="285">
        <f>T39/T38*100</f>
        <v>9.6767241379310356</v>
      </c>
      <c r="U40" s="285">
        <f t="shared" si="61"/>
        <v>12.031615925058547</v>
      </c>
      <c r="V40" s="285">
        <f t="shared" si="61"/>
        <v>4.5112781954887211</v>
      </c>
      <c r="W40" s="285">
        <f t="shared" si="61"/>
        <v>0.69124423963133641</v>
      </c>
      <c r="X40" s="285">
        <f t="shared" si="61"/>
        <v>0.54054054054054057</v>
      </c>
      <c r="Y40" s="285">
        <f t="shared" si="61"/>
        <v>16.221851542952457</v>
      </c>
      <c r="Z40" s="298"/>
      <c r="AA40" s="289" t="s">
        <v>12</v>
      </c>
      <c r="AB40" s="285">
        <f t="shared" ref="AB40:AH40" si="62">AB39/AB38*100</f>
        <v>0</v>
      </c>
      <c r="AC40" s="285">
        <f t="shared" si="62"/>
        <v>13.142857142857142</v>
      </c>
      <c r="AD40" s="285">
        <f t="shared" si="62"/>
        <v>13.924050632911392</v>
      </c>
      <c r="AE40" s="285">
        <f t="shared" si="62"/>
        <v>13.157894736842104</v>
      </c>
      <c r="AF40" s="285">
        <f t="shared" si="62"/>
        <v>11.111111111111111</v>
      </c>
      <c r="AG40" s="285">
        <f t="shared" si="62"/>
        <v>0</v>
      </c>
      <c r="AH40" s="285">
        <f t="shared" si="62"/>
        <v>16.666666666666664</v>
      </c>
      <c r="AI40" s="298"/>
      <c r="AJ40" s="289" t="s">
        <v>12</v>
      </c>
      <c r="AK40" s="285">
        <f>AK39/AK38*100</f>
        <v>0</v>
      </c>
      <c r="AL40" s="285">
        <f t="shared" ref="AL40:AQ40" si="63">AL39/AL38*100</f>
        <v>0</v>
      </c>
      <c r="AM40" s="285">
        <f t="shared" si="63"/>
        <v>0</v>
      </c>
      <c r="AN40" s="285">
        <f t="shared" si="63"/>
        <v>0</v>
      </c>
      <c r="AO40" s="285">
        <f t="shared" si="63"/>
        <v>0</v>
      </c>
      <c r="AP40" s="285">
        <f t="shared" si="63"/>
        <v>0</v>
      </c>
      <c r="AQ40" s="285">
        <f t="shared" si="63"/>
        <v>0</v>
      </c>
    </row>
    <row r="41" spans="1:43">
      <c r="A41" s="1"/>
      <c r="B41" s="52"/>
      <c r="C41" s="1"/>
      <c r="D41" s="1"/>
      <c r="E41" s="1"/>
      <c r="F41" s="1"/>
      <c r="G41" s="1"/>
      <c r="H41" s="1"/>
      <c r="K41" s="53"/>
      <c r="T41" s="53"/>
      <c r="AC41" s="53"/>
      <c r="AL41" s="53"/>
    </row>
    <row r="42" spans="1:43">
      <c r="A42" t="s">
        <v>49</v>
      </c>
    </row>
    <row r="43" spans="1:43">
      <c r="A43" s="127" t="s">
        <v>0</v>
      </c>
      <c r="B43" s="127" t="s">
        <v>1</v>
      </c>
      <c r="C43" s="127" t="s">
        <v>2</v>
      </c>
      <c r="D43" s="127" t="s">
        <v>3</v>
      </c>
      <c r="E43" s="127" t="s">
        <v>4</v>
      </c>
      <c r="F43" s="127" t="s">
        <v>5</v>
      </c>
      <c r="G43" s="127" t="s">
        <v>6</v>
      </c>
      <c r="H43" s="127" t="s">
        <v>7</v>
      </c>
    </row>
    <row r="44" spans="1:43">
      <c r="A44" s="127"/>
      <c r="B44" s="127" t="s">
        <v>8</v>
      </c>
      <c r="C44" s="127" t="s">
        <v>9</v>
      </c>
      <c r="D44" s="127" t="s">
        <v>10</v>
      </c>
      <c r="E44" s="127" t="s">
        <v>9</v>
      </c>
      <c r="F44" s="127" t="s">
        <v>9</v>
      </c>
      <c r="G44" s="127" t="s">
        <v>9</v>
      </c>
      <c r="H44" s="127" t="s">
        <v>9</v>
      </c>
    </row>
    <row r="45" spans="1:43">
      <c r="A45" s="127" t="s">
        <v>17</v>
      </c>
      <c r="B45" s="127"/>
      <c r="C45" s="127"/>
      <c r="D45" s="127"/>
      <c r="E45" s="127"/>
      <c r="F45" s="127"/>
      <c r="G45" s="127"/>
      <c r="H45" s="127"/>
    </row>
    <row r="46" spans="1:43">
      <c r="A46" s="127" t="s">
        <v>40</v>
      </c>
      <c r="B46" s="127">
        <f t="shared" ref="B46:H47" si="64">K9+S9+AK9</f>
        <v>742.2</v>
      </c>
      <c r="C46" s="127">
        <f t="shared" si="64"/>
        <v>43015</v>
      </c>
      <c r="D46" s="127">
        <f t="shared" si="64"/>
        <v>35025</v>
      </c>
      <c r="E46" s="127">
        <f t="shared" si="64"/>
        <v>7011</v>
      </c>
      <c r="F46" s="127">
        <f t="shared" si="64"/>
        <v>6187</v>
      </c>
      <c r="G46" s="127">
        <f t="shared" si="64"/>
        <v>4071</v>
      </c>
      <c r="H46" s="127">
        <f t="shared" si="64"/>
        <v>17756</v>
      </c>
    </row>
    <row r="47" spans="1:43">
      <c r="A47" s="127" t="s">
        <v>50</v>
      </c>
      <c r="B47" s="127">
        <f t="shared" si="64"/>
        <v>478.9</v>
      </c>
      <c r="C47" s="127">
        <f t="shared" si="64"/>
        <v>28796</v>
      </c>
      <c r="D47" s="127">
        <f t="shared" si="64"/>
        <v>26496</v>
      </c>
      <c r="E47" s="127">
        <f t="shared" si="64"/>
        <v>5909</v>
      </c>
      <c r="F47" s="127">
        <f t="shared" si="64"/>
        <v>1997</v>
      </c>
      <c r="G47" s="127">
        <f t="shared" si="64"/>
        <v>418</v>
      </c>
      <c r="H47" s="127">
        <f t="shared" si="64"/>
        <v>18173</v>
      </c>
    </row>
    <row r="48" spans="1:43">
      <c r="A48" s="127" t="s">
        <v>44</v>
      </c>
      <c r="B48" s="127">
        <f>B47/B46*100</f>
        <v>64.524386957693338</v>
      </c>
      <c r="C48" s="127">
        <f t="shared" ref="C48:H48" si="65">C47/C46*100</f>
        <v>66.944089271184467</v>
      </c>
      <c r="D48" s="127">
        <f t="shared" si="65"/>
        <v>75.648822269807283</v>
      </c>
      <c r="E48" s="127">
        <f t="shared" si="65"/>
        <v>84.281842818428188</v>
      </c>
      <c r="F48" s="127">
        <f t="shared" si="65"/>
        <v>32.277355745918861</v>
      </c>
      <c r="G48" s="127">
        <f t="shared" si="65"/>
        <v>10.267747482191107</v>
      </c>
      <c r="H48" s="127">
        <f t="shared" si="65"/>
        <v>102.34850191484568</v>
      </c>
    </row>
    <row r="49" spans="1:8">
      <c r="A49" s="127" t="s">
        <v>11</v>
      </c>
      <c r="B49" s="127"/>
      <c r="C49" s="127"/>
      <c r="D49" s="127"/>
      <c r="E49" s="127"/>
      <c r="F49" s="127"/>
      <c r="G49" s="127"/>
      <c r="H49" s="127"/>
    </row>
    <row r="50" spans="1:8">
      <c r="A50" s="127" t="s">
        <v>40</v>
      </c>
      <c r="B50" s="127">
        <f t="shared" ref="B50:H51" si="66">K13+S13+AK13</f>
        <v>211</v>
      </c>
      <c r="C50" s="127">
        <f t="shared" si="66"/>
        <v>12760</v>
      </c>
      <c r="D50" s="127">
        <f t="shared" si="66"/>
        <v>10021</v>
      </c>
      <c r="E50" s="127">
        <f t="shared" si="66"/>
        <v>2052</v>
      </c>
      <c r="F50" s="127">
        <f t="shared" si="66"/>
        <v>3416</v>
      </c>
      <c r="G50" s="127">
        <f t="shared" si="66"/>
        <v>1397</v>
      </c>
      <c r="H50" s="127">
        <f t="shared" si="66"/>
        <v>3156</v>
      </c>
    </row>
    <row r="51" spans="1:8">
      <c r="A51" s="127" t="s">
        <v>50</v>
      </c>
      <c r="B51" s="127">
        <f t="shared" si="66"/>
        <v>115.6</v>
      </c>
      <c r="C51" s="127">
        <f t="shared" si="66"/>
        <v>7299</v>
      </c>
      <c r="D51" s="127">
        <f t="shared" si="66"/>
        <v>6504</v>
      </c>
      <c r="E51" s="127">
        <f t="shared" si="66"/>
        <v>2024</v>
      </c>
      <c r="F51" s="127">
        <f t="shared" si="66"/>
        <v>1019</v>
      </c>
      <c r="G51" s="127">
        <f t="shared" si="66"/>
        <v>161</v>
      </c>
      <c r="H51" s="127">
        <f t="shared" si="66"/>
        <v>3300</v>
      </c>
    </row>
    <row r="52" spans="1:8">
      <c r="A52" s="127" t="s">
        <v>44</v>
      </c>
      <c r="B52" s="127">
        <f t="shared" ref="B52:H52" si="67">B51/B50*100</f>
        <v>54.786729857819907</v>
      </c>
      <c r="C52" s="127">
        <f t="shared" si="67"/>
        <v>57.202194357366778</v>
      </c>
      <c r="D52" s="127">
        <f t="shared" si="67"/>
        <v>64.903702225326811</v>
      </c>
      <c r="E52" s="127">
        <f t="shared" si="67"/>
        <v>98.635477582845994</v>
      </c>
      <c r="F52" s="127">
        <f t="shared" si="67"/>
        <v>29.830210772833727</v>
      </c>
      <c r="G52" s="127">
        <f t="shared" si="67"/>
        <v>11.524695776664281</v>
      </c>
      <c r="H52" s="127">
        <f t="shared" si="67"/>
        <v>104.56273764258555</v>
      </c>
    </row>
    <row r="53" spans="1:8">
      <c r="A53" s="127" t="s">
        <v>13</v>
      </c>
      <c r="B53" s="127">
        <f t="shared" ref="B53:H55" si="68">K16+S16+AK16</f>
        <v>60.699999999999996</v>
      </c>
      <c r="C53" s="127">
        <f t="shared" si="68"/>
        <v>2756</v>
      </c>
      <c r="D53" s="127">
        <f t="shared" si="68"/>
        <v>2405</v>
      </c>
      <c r="E53" s="127">
        <f t="shared" si="68"/>
        <v>776</v>
      </c>
      <c r="F53" s="127">
        <f t="shared" si="68"/>
        <v>424</v>
      </c>
      <c r="G53" s="127">
        <f t="shared" si="68"/>
        <v>52</v>
      </c>
      <c r="H53" s="127">
        <f t="shared" si="68"/>
        <v>1156</v>
      </c>
    </row>
    <row r="54" spans="1:8">
      <c r="A54" s="127" t="s">
        <v>14</v>
      </c>
      <c r="B54" s="127">
        <f t="shared" si="68"/>
        <v>51.9</v>
      </c>
      <c r="C54" s="127">
        <f t="shared" si="68"/>
        <v>2764</v>
      </c>
      <c r="D54" s="127">
        <f t="shared" si="68"/>
        <v>2519</v>
      </c>
      <c r="E54" s="127">
        <f t="shared" si="68"/>
        <v>769</v>
      </c>
      <c r="F54" s="127">
        <f t="shared" si="68"/>
        <v>461</v>
      </c>
      <c r="G54" s="127">
        <f t="shared" si="68"/>
        <v>96</v>
      </c>
      <c r="H54" s="127">
        <f t="shared" si="68"/>
        <v>1193</v>
      </c>
    </row>
    <row r="55" spans="1:8">
      <c r="A55" s="127" t="s">
        <v>15</v>
      </c>
      <c r="B55" s="127">
        <f t="shared" si="68"/>
        <v>0</v>
      </c>
      <c r="C55" s="127">
        <f t="shared" si="68"/>
        <v>0</v>
      </c>
      <c r="D55" s="127">
        <f t="shared" si="68"/>
        <v>0</v>
      </c>
      <c r="E55" s="127">
        <f t="shared" si="68"/>
        <v>0</v>
      </c>
      <c r="F55" s="127">
        <f t="shared" si="68"/>
        <v>0</v>
      </c>
      <c r="G55" s="127">
        <f t="shared" si="68"/>
        <v>0</v>
      </c>
      <c r="H55" s="127">
        <f t="shared" si="68"/>
        <v>0</v>
      </c>
    </row>
    <row r="56" spans="1:8">
      <c r="A56" s="127" t="s">
        <v>16</v>
      </c>
      <c r="B56" s="127"/>
      <c r="C56" s="127"/>
      <c r="D56" s="127"/>
      <c r="E56" s="127"/>
      <c r="F56" s="127"/>
      <c r="G56" s="127"/>
      <c r="H56" s="127"/>
    </row>
    <row r="57" spans="1:8">
      <c r="A57" s="127" t="s">
        <v>40</v>
      </c>
      <c r="B57" s="127">
        <f t="shared" ref="B57:H58" si="69">K20+S20+AK20</f>
        <v>531.20000000000005</v>
      </c>
      <c r="C57" s="127">
        <f t="shared" si="69"/>
        <v>30255</v>
      </c>
      <c r="D57" s="127">
        <f t="shared" si="69"/>
        <v>25004</v>
      </c>
      <c r="E57" s="127">
        <f t="shared" si="69"/>
        <v>4959</v>
      </c>
      <c r="F57" s="127">
        <f t="shared" si="69"/>
        <v>2771</v>
      </c>
      <c r="G57" s="127">
        <f t="shared" si="69"/>
        <v>2674</v>
      </c>
      <c r="H57" s="127">
        <f t="shared" si="69"/>
        <v>14600</v>
      </c>
    </row>
    <row r="58" spans="1:8">
      <c r="A58" s="127" t="s">
        <v>50</v>
      </c>
      <c r="B58" s="127">
        <f t="shared" si="69"/>
        <v>363.29999999999995</v>
      </c>
      <c r="C58" s="127">
        <f t="shared" si="69"/>
        <v>21497</v>
      </c>
      <c r="D58" s="127">
        <f t="shared" si="69"/>
        <v>19992</v>
      </c>
      <c r="E58" s="127">
        <f t="shared" si="69"/>
        <v>3885</v>
      </c>
      <c r="F58" s="127">
        <f t="shared" si="69"/>
        <v>978</v>
      </c>
      <c r="G58" s="127">
        <f t="shared" si="69"/>
        <v>257</v>
      </c>
      <c r="H58" s="127">
        <f t="shared" si="69"/>
        <v>14873</v>
      </c>
    </row>
    <row r="59" spans="1:8">
      <c r="A59" s="127" t="s">
        <v>44</v>
      </c>
      <c r="B59" s="127">
        <f t="shared" ref="B59:H59" si="70">B58/B57*100</f>
        <v>68.392319277108413</v>
      </c>
      <c r="C59" s="127">
        <f t="shared" si="70"/>
        <v>71.052718558915885</v>
      </c>
      <c r="D59" s="127">
        <f t="shared" si="70"/>
        <v>79.955207166853299</v>
      </c>
      <c r="E59" s="127">
        <f t="shared" si="70"/>
        <v>78.342407743496679</v>
      </c>
      <c r="F59" s="127">
        <f t="shared" si="70"/>
        <v>35.294117647058826</v>
      </c>
      <c r="G59" s="127">
        <f t="shared" si="70"/>
        <v>9.6110695587135382</v>
      </c>
      <c r="H59" s="127">
        <f t="shared" si="70"/>
        <v>101.86986301369862</v>
      </c>
    </row>
    <row r="60" spans="1:8">
      <c r="A60" s="127" t="s">
        <v>21</v>
      </c>
      <c r="B60" s="127">
        <f t="shared" ref="B60:H61" si="71">K23+S23+AK23</f>
        <v>212</v>
      </c>
      <c r="C60" s="127">
        <f t="shared" si="71"/>
        <v>14745</v>
      </c>
      <c r="D60" s="127">
        <f t="shared" si="71"/>
        <v>12534</v>
      </c>
      <c r="E60" s="127">
        <f t="shared" si="71"/>
        <v>4114</v>
      </c>
      <c r="F60" s="127">
        <f t="shared" si="71"/>
        <v>1329</v>
      </c>
      <c r="G60" s="127">
        <f t="shared" si="71"/>
        <v>975</v>
      </c>
      <c r="H60" s="127">
        <f t="shared" si="71"/>
        <v>6116</v>
      </c>
    </row>
    <row r="61" spans="1:8">
      <c r="A61" s="127" t="s">
        <v>51</v>
      </c>
      <c r="B61" s="127">
        <f t="shared" si="71"/>
        <v>337.4</v>
      </c>
      <c r="C61" s="127">
        <f t="shared" si="71"/>
        <v>15195</v>
      </c>
      <c r="D61" s="127">
        <f t="shared" si="71"/>
        <v>14290</v>
      </c>
      <c r="E61" s="127">
        <f t="shared" si="71"/>
        <v>2838</v>
      </c>
      <c r="F61" s="127">
        <f t="shared" si="71"/>
        <v>352</v>
      </c>
      <c r="G61" s="127">
        <f t="shared" si="71"/>
        <v>130</v>
      </c>
      <c r="H61" s="127">
        <f t="shared" si="71"/>
        <v>10970</v>
      </c>
    </row>
    <row r="62" spans="1:8">
      <c r="A62" s="127" t="s">
        <v>12</v>
      </c>
      <c r="B62" s="127">
        <f t="shared" ref="B62:H62" si="72">B61/B60*100</f>
        <v>159.15094339622641</v>
      </c>
      <c r="C62" s="127">
        <f t="shared" si="72"/>
        <v>103.05188199389623</v>
      </c>
      <c r="D62" s="127">
        <f t="shared" si="72"/>
        <v>114.00989309079304</v>
      </c>
      <c r="E62" s="127">
        <f t="shared" si="72"/>
        <v>68.983957219251337</v>
      </c>
      <c r="F62" s="127">
        <f t="shared" si="72"/>
        <v>26.486079759217457</v>
      </c>
      <c r="G62" s="127">
        <f t="shared" si="72"/>
        <v>13.333333333333334</v>
      </c>
      <c r="H62" s="127">
        <f t="shared" si="72"/>
        <v>179.36559843034664</v>
      </c>
    </row>
    <row r="63" spans="1:8">
      <c r="A63" s="127" t="s">
        <v>23</v>
      </c>
      <c r="B63" s="127">
        <f t="shared" ref="B63:H64" si="73">K26+S26+AK26</f>
        <v>12</v>
      </c>
      <c r="C63" s="127">
        <f t="shared" si="73"/>
        <v>445</v>
      </c>
      <c r="D63" s="127">
        <f t="shared" si="73"/>
        <v>351</v>
      </c>
      <c r="E63" s="127">
        <f t="shared" si="73"/>
        <v>56</v>
      </c>
      <c r="F63" s="127">
        <f t="shared" si="73"/>
        <v>80</v>
      </c>
      <c r="G63" s="127">
        <f t="shared" si="73"/>
        <v>33</v>
      </c>
      <c r="H63" s="127">
        <f t="shared" si="73"/>
        <v>182</v>
      </c>
    </row>
    <row r="64" spans="1:8">
      <c r="A64" s="127" t="s">
        <v>45</v>
      </c>
      <c r="B64" s="127">
        <f t="shared" si="73"/>
        <v>10</v>
      </c>
      <c r="C64" s="127">
        <f t="shared" si="73"/>
        <v>455</v>
      </c>
      <c r="D64" s="127">
        <f t="shared" si="73"/>
        <v>449</v>
      </c>
      <c r="E64" s="127">
        <f t="shared" si="73"/>
        <v>33</v>
      </c>
      <c r="F64" s="127">
        <f t="shared" si="73"/>
        <v>1</v>
      </c>
      <c r="G64" s="127">
        <f t="shared" si="73"/>
        <v>0</v>
      </c>
      <c r="H64" s="127">
        <f t="shared" si="73"/>
        <v>415</v>
      </c>
    </row>
    <row r="65" spans="1:8">
      <c r="A65" s="127" t="s">
        <v>12</v>
      </c>
      <c r="B65" s="127">
        <f t="shared" ref="B65:H65" si="74">B64/B63*100</f>
        <v>83.333333333333343</v>
      </c>
      <c r="C65" s="127">
        <f t="shared" si="74"/>
        <v>102.24719101123596</v>
      </c>
      <c r="D65" s="127">
        <f t="shared" si="74"/>
        <v>127.92022792022793</v>
      </c>
      <c r="E65" s="127">
        <f t="shared" si="74"/>
        <v>58.928571428571431</v>
      </c>
      <c r="F65" s="127">
        <f t="shared" si="74"/>
        <v>1.25</v>
      </c>
      <c r="G65" s="127">
        <f t="shared" si="74"/>
        <v>0</v>
      </c>
      <c r="H65" s="127">
        <f t="shared" si="74"/>
        <v>228.02197802197801</v>
      </c>
    </row>
    <row r="66" spans="1:8">
      <c r="A66" s="127" t="s">
        <v>25</v>
      </c>
      <c r="B66" s="127">
        <f t="shared" ref="B66:H67" si="75">K29+S29+AK29</f>
        <v>52</v>
      </c>
      <c r="C66" s="127">
        <f t="shared" si="75"/>
        <v>2960</v>
      </c>
      <c r="D66" s="127">
        <f t="shared" si="75"/>
        <v>2432</v>
      </c>
      <c r="E66" s="127">
        <f t="shared" si="75"/>
        <v>196</v>
      </c>
      <c r="F66" s="127">
        <f t="shared" si="75"/>
        <v>306</v>
      </c>
      <c r="G66" s="127">
        <f t="shared" si="75"/>
        <v>241</v>
      </c>
      <c r="H66" s="127">
        <f t="shared" si="75"/>
        <v>1689</v>
      </c>
    </row>
    <row r="67" spans="1:8">
      <c r="A67" s="127" t="s">
        <v>46</v>
      </c>
      <c r="B67" s="127">
        <f t="shared" si="75"/>
        <v>2.4</v>
      </c>
      <c r="C67" s="127">
        <f t="shared" si="75"/>
        <v>300</v>
      </c>
      <c r="D67" s="127">
        <f t="shared" si="75"/>
        <v>297</v>
      </c>
      <c r="E67" s="127">
        <f t="shared" si="75"/>
        <v>0</v>
      </c>
      <c r="F67" s="127">
        <f t="shared" si="75"/>
        <v>0</v>
      </c>
      <c r="G67" s="127">
        <f t="shared" si="75"/>
        <v>2</v>
      </c>
      <c r="H67" s="127">
        <f t="shared" si="75"/>
        <v>295</v>
      </c>
    </row>
    <row r="68" spans="1:8">
      <c r="A68" s="127" t="s">
        <v>12</v>
      </c>
      <c r="B68" s="127">
        <f t="shared" ref="B68:H68" si="76">B67/B66*100</f>
        <v>4.615384615384615</v>
      </c>
      <c r="C68" s="127">
        <f t="shared" si="76"/>
        <v>10.135135135135135</v>
      </c>
      <c r="D68" s="127">
        <f t="shared" si="76"/>
        <v>12.212171052631579</v>
      </c>
      <c r="E68" s="127">
        <f t="shared" si="76"/>
        <v>0</v>
      </c>
      <c r="F68" s="127">
        <f t="shared" si="76"/>
        <v>0</v>
      </c>
      <c r="G68" s="127">
        <f t="shared" si="76"/>
        <v>0.82987551867219922</v>
      </c>
      <c r="H68" s="127">
        <f t="shared" si="76"/>
        <v>17.465956187092953</v>
      </c>
    </row>
    <row r="69" spans="1:8">
      <c r="A69" s="127" t="s">
        <v>27</v>
      </c>
      <c r="B69" s="127">
        <f t="shared" ref="B69:H70" si="77">K32+S32+AK32</f>
        <v>1.2</v>
      </c>
      <c r="C69" s="127">
        <f t="shared" si="77"/>
        <v>170</v>
      </c>
      <c r="D69" s="127">
        <f t="shared" si="77"/>
        <v>127</v>
      </c>
      <c r="E69" s="127">
        <f t="shared" si="77"/>
        <v>21</v>
      </c>
      <c r="F69" s="127">
        <f t="shared" si="77"/>
        <v>40</v>
      </c>
      <c r="G69" s="127">
        <f t="shared" si="77"/>
        <v>23</v>
      </c>
      <c r="H69" s="127">
        <f t="shared" si="77"/>
        <v>43</v>
      </c>
    </row>
    <row r="70" spans="1:8">
      <c r="A70" s="127" t="s">
        <v>47</v>
      </c>
      <c r="B70" s="127">
        <f t="shared" si="77"/>
        <v>0</v>
      </c>
      <c r="C70" s="127">
        <f t="shared" si="77"/>
        <v>0</v>
      </c>
      <c r="D70" s="127">
        <f t="shared" si="77"/>
        <v>0</v>
      </c>
      <c r="E70" s="127">
        <f t="shared" si="77"/>
        <v>0</v>
      </c>
      <c r="F70" s="127">
        <f t="shared" si="77"/>
        <v>0</v>
      </c>
      <c r="G70" s="127">
        <f t="shared" si="77"/>
        <v>0</v>
      </c>
      <c r="H70" s="127">
        <f t="shared" si="77"/>
        <v>0</v>
      </c>
    </row>
    <row r="71" spans="1:8">
      <c r="A71" s="127" t="s">
        <v>12</v>
      </c>
      <c r="B71" s="127">
        <f t="shared" ref="B71:H71" si="78">B70/B69*100</f>
        <v>0</v>
      </c>
      <c r="C71" s="127">
        <f t="shared" si="78"/>
        <v>0</v>
      </c>
      <c r="D71" s="127">
        <f t="shared" si="78"/>
        <v>0</v>
      </c>
      <c r="E71" s="127">
        <f t="shared" si="78"/>
        <v>0</v>
      </c>
      <c r="F71" s="127">
        <f t="shared" si="78"/>
        <v>0</v>
      </c>
      <c r="G71" s="127">
        <f t="shared" si="78"/>
        <v>0</v>
      </c>
      <c r="H71" s="127">
        <f t="shared" si="78"/>
        <v>0</v>
      </c>
    </row>
    <row r="72" spans="1:8">
      <c r="A72" s="127" t="s">
        <v>29</v>
      </c>
      <c r="B72" s="127">
        <f t="shared" ref="B72:H73" si="79">K35+S35+AK35</f>
        <v>64</v>
      </c>
      <c r="C72" s="127">
        <f t="shared" si="79"/>
        <v>4365</v>
      </c>
      <c r="D72" s="127">
        <f t="shared" si="79"/>
        <v>3551</v>
      </c>
      <c r="E72" s="127">
        <f t="shared" si="79"/>
        <v>0</v>
      </c>
      <c r="F72" s="127">
        <f t="shared" si="79"/>
        <v>70</v>
      </c>
      <c r="G72" s="127">
        <f t="shared" si="79"/>
        <v>945</v>
      </c>
      <c r="H72" s="127">
        <f t="shared" si="79"/>
        <v>2536</v>
      </c>
    </row>
    <row r="73" spans="1:8">
      <c r="A73" s="127" t="s">
        <v>48</v>
      </c>
      <c r="B73" s="127">
        <f t="shared" si="79"/>
        <v>5.7</v>
      </c>
      <c r="C73" s="127">
        <f t="shared" si="79"/>
        <v>804</v>
      </c>
      <c r="D73" s="127">
        <f t="shared" si="79"/>
        <v>772</v>
      </c>
      <c r="E73" s="127">
        <f t="shared" si="79"/>
        <v>6</v>
      </c>
      <c r="F73" s="127">
        <f t="shared" si="79"/>
        <v>0</v>
      </c>
      <c r="G73" s="127">
        <f t="shared" si="79"/>
        <v>0</v>
      </c>
      <c r="H73" s="127">
        <f t="shared" si="79"/>
        <v>766</v>
      </c>
    </row>
    <row r="74" spans="1:8">
      <c r="A74" s="127" t="s">
        <v>12</v>
      </c>
      <c r="B74" s="127">
        <f t="shared" ref="B74:H74" si="80">B73/B72*100</f>
        <v>8.90625</v>
      </c>
      <c r="C74" s="127">
        <f t="shared" si="80"/>
        <v>18.419243986254298</v>
      </c>
      <c r="D74" s="127">
        <f t="shared" si="80"/>
        <v>21.740354829625456</v>
      </c>
      <c r="E74" s="127" t="e">
        <f t="shared" si="80"/>
        <v>#DIV/0!</v>
      </c>
      <c r="F74" s="127">
        <f t="shared" si="80"/>
        <v>0</v>
      </c>
      <c r="G74" s="127">
        <f t="shared" si="80"/>
        <v>0</v>
      </c>
      <c r="H74" s="127">
        <f t="shared" si="80"/>
        <v>30.205047318611989</v>
      </c>
    </row>
    <row r="75" spans="1:8">
      <c r="A75" s="127" t="s">
        <v>31</v>
      </c>
      <c r="B75" s="127">
        <f t="shared" ref="B75:H76" si="81">K38+S38+AK38</f>
        <v>190</v>
      </c>
      <c r="C75" s="127">
        <f t="shared" si="81"/>
        <v>7570</v>
      </c>
      <c r="D75" s="127">
        <f t="shared" si="81"/>
        <v>6009</v>
      </c>
      <c r="E75" s="127">
        <f t="shared" si="81"/>
        <v>572</v>
      </c>
      <c r="F75" s="127">
        <f t="shared" si="81"/>
        <v>946</v>
      </c>
      <c r="G75" s="127">
        <f t="shared" si="81"/>
        <v>457</v>
      </c>
      <c r="H75" s="127">
        <f t="shared" si="81"/>
        <v>4034</v>
      </c>
    </row>
    <row r="76" spans="1:8">
      <c r="A76" s="127" t="s">
        <v>52</v>
      </c>
      <c r="B76" s="127">
        <f t="shared" si="81"/>
        <v>7.8000000000000007</v>
      </c>
      <c r="C76" s="127">
        <f t="shared" si="81"/>
        <v>4743</v>
      </c>
      <c r="D76" s="127">
        <f t="shared" si="81"/>
        <v>4184</v>
      </c>
      <c r="E76" s="127">
        <f t="shared" si="81"/>
        <v>1008</v>
      </c>
      <c r="F76" s="127">
        <f t="shared" si="81"/>
        <v>625</v>
      </c>
      <c r="G76" s="127">
        <f t="shared" si="81"/>
        <v>125</v>
      </c>
      <c r="H76" s="127">
        <f t="shared" si="81"/>
        <v>2427</v>
      </c>
    </row>
    <row r="77" spans="1:8">
      <c r="A77" s="127" t="s">
        <v>12</v>
      </c>
      <c r="B77" s="127">
        <f t="shared" ref="B77:H77" si="82">B76/B75*100</f>
        <v>4.1052631578947372</v>
      </c>
      <c r="C77" s="127">
        <f t="shared" si="82"/>
        <v>62.655217965653897</v>
      </c>
      <c r="D77" s="127">
        <f t="shared" si="82"/>
        <v>69.628889998335836</v>
      </c>
      <c r="E77" s="127">
        <f t="shared" si="82"/>
        <v>176.22377622377624</v>
      </c>
      <c r="F77" s="127">
        <f t="shared" si="82"/>
        <v>66.06765327695561</v>
      </c>
      <c r="G77" s="127">
        <f t="shared" si="82"/>
        <v>27.352297592997811</v>
      </c>
      <c r="H77" s="127">
        <f t="shared" si="82"/>
        <v>60.163609320773425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83">B9-B46</f>
        <v>0</v>
      </c>
      <c r="C83" s="83">
        <f t="shared" si="83"/>
        <v>0</v>
      </c>
      <c r="D83" s="83">
        <f t="shared" si="83"/>
        <v>0</v>
      </c>
      <c r="E83" s="83">
        <f t="shared" si="83"/>
        <v>0</v>
      </c>
      <c r="F83" s="83">
        <f t="shared" si="83"/>
        <v>0</v>
      </c>
      <c r="G83" s="83">
        <f t="shared" si="83"/>
        <v>0</v>
      </c>
      <c r="H83" s="83">
        <f t="shared" si="83"/>
        <v>0</v>
      </c>
    </row>
    <row r="84" spans="1:8">
      <c r="A84" s="84" t="s">
        <v>50</v>
      </c>
      <c r="B84" s="83">
        <f t="shared" si="83"/>
        <v>0</v>
      </c>
      <c r="C84" s="83">
        <f t="shared" si="83"/>
        <v>0</v>
      </c>
      <c r="D84" s="83">
        <f t="shared" si="83"/>
        <v>1</v>
      </c>
      <c r="E84" s="83">
        <f t="shared" si="83"/>
        <v>0</v>
      </c>
      <c r="F84" s="83">
        <f t="shared" si="83"/>
        <v>0</v>
      </c>
      <c r="G84" s="83">
        <f t="shared" si="83"/>
        <v>0</v>
      </c>
      <c r="H84" s="83">
        <f t="shared" si="83"/>
        <v>0</v>
      </c>
    </row>
    <row r="85" spans="1:8">
      <c r="A85" s="85" t="s">
        <v>44</v>
      </c>
      <c r="B85" s="83">
        <f t="shared" si="83"/>
        <v>0</v>
      </c>
      <c r="C85" s="83">
        <f t="shared" si="83"/>
        <v>0</v>
      </c>
      <c r="D85" s="83">
        <f t="shared" si="83"/>
        <v>2.8551034974952927E-3</v>
      </c>
      <c r="E85" s="83">
        <f t="shared" si="83"/>
        <v>0</v>
      </c>
      <c r="F85" s="83">
        <f t="shared" si="83"/>
        <v>0</v>
      </c>
      <c r="G85" s="83">
        <f t="shared" si="83"/>
        <v>0</v>
      </c>
      <c r="H85" s="83">
        <f t="shared" si="83"/>
        <v>0</v>
      </c>
    </row>
    <row r="86" spans="1:8">
      <c r="A86" s="87" t="s">
        <v>11</v>
      </c>
      <c r="B86" s="83">
        <f t="shared" si="83"/>
        <v>0</v>
      </c>
      <c r="C86" s="83">
        <f t="shared" si="83"/>
        <v>0</v>
      </c>
      <c r="D86" s="83">
        <f t="shared" si="83"/>
        <v>0</v>
      </c>
      <c r="E86" s="83">
        <f t="shared" si="83"/>
        <v>0</v>
      </c>
      <c r="F86" s="83">
        <f t="shared" si="83"/>
        <v>0</v>
      </c>
      <c r="G86" s="83">
        <f t="shared" si="83"/>
        <v>0</v>
      </c>
      <c r="H86" s="83">
        <f t="shared" si="83"/>
        <v>0</v>
      </c>
    </row>
    <row r="87" spans="1:8">
      <c r="A87" s="75" t="s">
        <v>40</v>
      </c>
      <c r="B87" s="83">
        <f t="shared" si="83"/>
        <v>0</v>
      </c>
      <c r="C87" s="83">
        <f t="shared" si="83"/>
        <v>0</v>
      </c>
      <c r="D87" s="83">
        <f t="shared" si="83"/>
        <v>0</v>
      </c>
      <c r="E87" s="83">
        <f t="shared" si="83"/>
        <v>0</v>
      </c>
      <c r="F87" s="83">
        <f t="shared" si="83"/>
        <v>0</v>
      </c>
      <c r="G87" s="83">
        <f t="shared" si="83"/>
        <v>0</v>
      </c>
      <c r="H87" s="83">
        <f t="shared" si="83"/>
        <v>0</v>
      </c>
    </row>
    <row r="88" spans="1:8">
      <c r="A88" s="75" t="s">
        <v>50</v>
      </c>
      <c r="B88" s="83">
        <f t="shared" si="83"/>
        <v>0</v>
      </c>
      <c r="C88" s="83">
        <f t="shared" si="83"/>
        <v>0</v>
      </c>
      <c r="D88" s="83">
        <f t="shared" si="83"/>
        <v>0</v>
      </c>
      <c r="E88" s="83">
        <f t="shared" si="83"/>
        <v>0</v>
      </c>
      <c r="F88" s="83">
        <f t="shared" si="83"/>
        <v>0</v>
      </c>
      <c r="G88" s="83">
        <f t="shared" si="83"/>
        <v>0</v>
      </c>
      <c r="H88" s="83">
        <f t="shared" si="83"/>
        <v>0</v>
      </c>
    </row>
    <row r="89" spans="1:8">
      <c r="A89" s="75" t="s">
        <v>44</v>
      </c>
      <c r="B89" s="83">
        <f t="shared" si="83"/>
        <v>0</v>
      </c>
      <c r="C89" s="83">
        <f t="shared" si="83"/>
        <v>0</v>
      </c>
      <c r="D89" s="83">
        <f t="shared" si="83"/>
        <v>0</v>
      </c>
      <c r="E89" s="83">
        <f t="shared" si="83"/>
        <v>0</v>
      </c>
      <c r="F89" s="83">
        <f t="shared" si="83"/>
        <v>0</v>
      </c>
      <c r="G89" s="83">
        <f t="shared" si="83"/>
        <v>0</v>
      </c>
      <c r="H89" s="83">
        <f t="shared" si="83"/>
        <v>0</v>
      </c>
    </row>
    <row r="90" spans="1:8">
      <c r="A90" s="75" t="s">
        <v>13</v>
      </c>
      <c r="B90" s="83">
        <f t="shared" si="83"/>
        <v>0</v>
      </c>
      <c r="C90" s="83">
        <f t="shared" si="83"/>
        <v>0</v>
      </c>
      <c r="D90" s="83">
        <f t="shared" si="83"/>
        <v>3</v>
      </c>
      <c r="E90" s="83">
        <f t="shared" si="83"/>
        <v>0</v>
      </c>
      <c r="F90" s="83">
        <f t="shared" si="83"/>
        <v>0</v>
      </c>
      <c r="G90" s="83">
        <f t="shared" si="83"/>
        <v>0</v>
      </c>
      <c r="H90" s="83">
        <f t="shared" si="83"/>
        <v>0</v>
      </c>
    </row>
    <row r="91" spans="1:8">
      <c r="A91" s="92" t="s">
        <v>14</v>
      </c>
      <c r="B91" s="83">
        <f t="shared" si="83"/>
        <v>0</v>
      </c>
      <c r="C91" s="83">
        <f t="shared" si="83"/>
        <v>0</v>
      </c>
      <c r="D91" s="83">
        <f t="shared" si="83"/>
        <v>0</v>
      </c>
      <c r="E91" s="83">
        <f t="shared" si="83"/>
        <v>0</v>
      </c>
      <c r="F91" s="83">
        <f t="shared" si="83"/>
        <v>0</v>
      </c>
      <c r="G91" s="83">
        <f t="shared" si="83"/>
        <v>0</v>
      </c>
      <c r="H91" s="83">
        <f t="shared" si="83"/>
        <v>0</v>
      </c>
    </row>
    <row r="92" spans="1:8">
      <c r="A92" s="75" t="s">
        <v>15</v>
      </c>
      <c r="B92" s="83">
        <f t="shared" si="83"/>
        <v>0</v>
      </c>
      <c r="C92" s="83">
        <f t="shared" si="83"/>
        <v>0</v>
      </c>
      <c r="D92" s="83">
        <f t="shared" si="83"/>
        <v>0</v>
      </c>
      <c r="E92" s="83">
        <f t="shared" si="83"/>
        <v>0</v>
      </c>
      <c r="F92" s="83">
        <f t="shared" si="83"/>
        <v>0</v>
      </c>
      <c r="G92" s="83">
        <f t="shared" si="83"/>
        <v>0</v>
      </c>
      <c r="H92" s="83">
        <f t="shared" si="83"/>
        <v>0</v>
      </c>
    </row>
    <row r="93" spans="1:8">
      <c r="A93" s="87" t="s">
        <v>16</v>
      </c>
      <c r="B93" s="83">
        <f t="shared" si="83"/>
        <v>0</v>
      </c>
      <c r="C93" s="83">
        <f t="shared" si="83"/>
        <v>0</v>
      </c>
      <c r="D93" s="83">
        <f t="shared" si="83"/>
        <v>0</v>
      </c>
      <c r="E93" s="83">
        <f t="shared" si="83"/>
        <v>0</v>
      </c>
      <c r="F93" s="83">
        <f t="shared" si="83"/>
        <v>0</v>
      </c>
      <c r="G93" s="83">
        <f t="shared" si="83"/>
        <v>0</v>
      </c>
      <c r="H93" s="83">
        <f t="shared" si="83"/>
        <v>0</v>
      </c>
    </row>
    <row r="94" spans="1:8">
      <c r="A94" s="75" t="s">
        <v>40</v>
      </c>
      <c r="B94" s="83">
        <f t="shared" si="83"/>
        <v>0</v>
      </c>
      <c r="C94" s="83">
        <f t="shared" si="83"/>
        <v>0</v>
      </c>
      <c r="D94" s="83">
        <f t="shared" si="83"/>
        <v>0</v>
      </c>
      <c r="E94" s="83">
        <f t="shared" si="83"/>
        <v>0</v>
      </c>
      <c r="F94" s="83">
        <f t="shared" si="83"/>
        <v>0</v>
      </c>
      <c r="G94" s="83">
        <f t="shared" si="83"/>
        <v>0</v>
      </c>
      <c r="H94" s="83">
        <f t="shared" si="83"/>
        <v>0</v>
      </c>
    </row>
    <row r="95" spans="1:8">
      <c r="A95" s="92" t="s">
        <v>50</v>
      </c>
      <c r="B95" s="83">
        <f t="shared" si="83"/>
        <v>0</v>
      </c>
      <c r="C95" s="83">
        <f t="shared" si="83"/>
        <v>0</v>
      </c>
      <c r="D95" s="83">
        <f t="shared" si="83"/>
        <v>1</v>
      </c>
      <c r="E95" s="83">
        <f t="shared" si="83"/>
        <v>0</v>
      </c>
      <c r="F95" s="83">
        <f t="shared" si="83"/>
        <v>0</v>
      </c>
      <c r="G95" s="83">
        <f t="shared" si="83"/>
        <v>0</v>
      </c>
      <c r="H95" s="83">
        <f t="shared" si="83"/>
        <v>0</v>
      </c>
    </row>
    <row r="96" spans="1:8">
      <c r="A96" s="75" t="s">
        <v>44</v>
      </c>
      <c r="B96" s="83">
        <f t="shared" si="83"/>
        <v>0</v>
      </c>
      <c r="C96" s="83">
        <f t="shared" si="83"/>
        <v>0</v>
      </c>
      <c r="D96" s="83">
        <f t="shared" si="83"/>
        <v>3.9993601023837755E-3</v>
      </c>
      <c r="E96" s="83">
        <f t="shared" si="83"/>
        <v>0</v>
      </c>
      <c r="F96" s="83">
        <f t="shared" si="83"/>
        <v>0</v>
      </c>
      <c r="G96" s="83">
        <f t="shared" si="83"/>
        <v>0</v>
      </c>
      <c r="H96" s="83">
        <f t="shared" si="83"/>
        <v>0</v>
      </c>
    </row>
    <row r="97" spans="1:8">
      <c r="A97" s="75" t="s">
        <v>21</v>
      </c>
      <c r="B97" s="83">
        <f t="shared" si="83"/>
        <v>0</v>
      </c>
      <c r="C97" s="83">
        <f t="shared" si="83"/>
        <v>0</v>
      </c>
      <c r="D97" s="83">
        <f t="shared" si="83"/>
        <v>0</v>
      </c>
      <c r="E97" s="83">
        <f t="shared" si="83"/>
        <v>0</v>
      </c>
      <c r="F97" s="83">
        <f t="shared" si="83"/>
        <v>0</v>
      </c>
      <c r="G97" s="83">
        <f t="shared" si="83"/>
        <v>0</v>
      </c>
      <c r="H97" s="83">
        <f t="shared" si="83"/>
        <v>0</v>
      </c>
    </row>
    <row r="98" spans="1:8">
      <c r="A98" s="75" t="s">
        <v>51</v>
      </c>
      <c r="B98" s="83">
        <f t="shared" si="83"/>
        <v>0</v>
      </c>
      <c r="C98" s="83">
        <f t="shared" si="83"/>
        <v>0</v>
      </c>
      <c r="D98" s="83">
        <f t="shared" si="83"/>
        <v>0</v>
      </c>
      <c r="E98" s="83">
        <f t="shared" si="83"/>
        <v>0</v>
      </c>
      <c r="F98" s="83">
        <f t="shared" si="83"/>
        <v>0</v>
      </c>
      <c r="G98" s="83">
        <f t="shared" si="83"/>
        <v>0</v>
      </c>
      <c r="H98" s="83">
        <f t="shared" si="83"/>
        <v>0</v>
      </c>
    </row>
    <row r="99" spans="1:8">
      <c r="A99" s="75" t="s">
        <v>12</v>
      </c>
      <c r="B99" s="83">
        <f t="shared" ref="B99:H114" si="84">B25-B62</f>
        <v>0</v>
      </c>
      <c r="C99" s="83">
        <f t="shared" si="84"/>
        <v>0</v>
      </c>
      <c r="D99" s="83">
        <f t="shared" si="84"/>
        <v>0</v>
      </c>
      <c r="E99" s="83">
        <f t="shared" si="84"/>
        <v>0</v>
      </c>
      <c r="F99" s="83">
        <f t="shared" si="84"/>
        <v>0</v>
      </c>
      <c r="G99" s="83">
        <f t="shared" si="84"/>
        <v>0</v>
      </c>
      <c r="H99" s="83">
        <f t="shared" si="84"/>
        <v>0</v>
      </c>
    </row>
    <row r="100" spans="1:8">
      <c r="A100" s="75" t="s">
        <v>23</v>
      </c>
      <c r="B100" s="83">
        <f t="shared" si="84"/>
        <v>0</v>
      </c>
      <c r="C100" s="83">
        <f t="shared" si="84"/>
        <v>0</v>
      </c>
      <c r="D100" s="83">
        <f t="shared" si="84"/>
        <v>0</v>
      </c>
      <c r="E100" s="83">
        <f t="shared" si="84"/>
        <v>0</v>
      </c>
      <c r="F100" s="83">
        <f t="shared" si="84"/>
        <v>0</v>
      </c>
      <c r="G100" s="83">
        <f t="shared" si="84"/>
        <v>0</v>
      </c>
      <c r="H100" s="83">
        <f t="shared" si="84"/>
        <v>0</v>
      </c>
    </row>
    <row r="101" spans="1:8">
      <c r="A101" s="75" t="s">
        <v>45</v>
      </c>
      <c r="B101" s="83">
        <f t="shared" si="84"/>
        <v>0</v>
      </c>
      <c r="C101" s="83">
        <f t="shared" si="84"/>
        <v>0</v>
      </c>
      <c r="D101" s="83">
        <f t="shared" si="84"/>
        <v>0</v>
      </c>
      <c r="E101" s="83">
        <f t="shared" si="84"/>
        <v>0</v>
      </c>
      <c r="F101" s="83">
        <f t="shared" si="84"/>
        <v>0</v>
      </c>
      <c r="G101" s="83">
        <f t="shared" si="84"/>
        <v>0</v>
      </c>
      <c r="H101" s="83">
        <f t="shared" si="84"/>
        <v>0</v>
      </c>
    </row>
    <row r="102" spans="1:8">
      <c r="A102" s="75" t="s">
        <v>12</v>
      </c>
      <c r="B102" s="83">
        <f t="shared" si="84"/>
        <v>0</v>
      </c>
      <c r="C102" s="83">
        <f t="shared" si="84"/>
        <v>0</v>
      </c>
      <c r="D102" s="83">
        <f t="shared" si="84"/>
        <v>0</v>
      </c>
      <c r="E102" s="83">
        <f t="shared" si="84"/>
        <v>0</v>
      </c>
      <c r="F102" s="83">
        <f t="shared" si="84"/>
        <v>0</v>
      </c>
      <c r="G102" s="83">
        <f t="shared" si="84"/>
        <v>0</v>
      </c>
      <c r="H102" s="83">
        <f t="shared" si="84"/>
        <v>0</v>
      </c>
    </row>
    <row r="103" spans="1:8">
      <c r="A103" s="75" t="s">
        <v>25</v>
      </c>
      <c r="B103" s="83">
        <f t="shared" si="84"/>
        <v>0</v>
      </c>
      <c r="C103" s="83">
        <f t="shared" si="84"/>
        <v>0</v>
      </c>
      <c r="D103" s="83">
        <f t="shared" si="84"/>
        <v>0</v>
      </c>
      <c r="E103" s="83">
        <f t="shared" si="84"/>
        <v>0</v>
      </c>
      <c r="F103" s="83">
        <f t="shared" si="84"/>
        <v>0</v>
      </c>
      <c r="G103" s="83">
        <f t="shared" si="84"/>
        <v>0</v>
      </c>
      <c r="H103" s="83">
        <f t="shared" si="84"/>
        <v>0</v>
      </c>
    </row>
    <row r="104" spans="1:8">
      <c r="A104" s="75" t="s">
        <v>46</v>
      </c>
      <c r="B104" s="83">
        <f t="shared" si="84"/>
        <v>0</v>
      </c>
      <c r="C104" s="83">
        <f t="shared" si="84"/>
        <v>0</v>
      </c>
      <c r="D104" s="83">
        <f t="shared" si="84"/>
        <v>0</v>
      </c>
      <c r="E104" s="83">
        <f t="shared" si="84"/>
        <v>0</v>
      </c>
      <c r="F104" s="83">
        <f t="shared" si="84"/>
        <v>0</v>
      </c>
      <c r="G104" s="83">
        <f t="shared" si="84"/>
        <v>0</v>
      </c>
      <c r="H104" s="83">
        <f t="shared" si="84"/>
        <v>0</v>
      </c>
    </row>
    <row r="105" spans="1:8">
      <c r="A105" s="75" t="s">
        <v>12</v>
      </c>
      <c r="B105" s="83">
        <f t="shared" si="84"/>
        <v>0</v>
      </c>
      <c r="C105" s="83">
        <f t="shared" si="84"/>
        <v>0</v>
      </c>
      <c r="D105" s="83">
        <f t="shared" si="84"/>
        <v>0</v>
      </c>
      <c r="E105" s="83">
        <f t="shared" si="84"/>
        <v>0</v>
      </c>
      <c r="F105" s="83">
        <f t="shared" si="84"/>
        <v>0</v>
      </c>
      <c r="G105" s="83">
        <f t="shared" si="84"/>
        <v>0</v>
      </c>
      <c r="H105" s="83">
        <f t="shared" si="84"/>
        <v>0</v>
      </c>
    </row>
    <row r="106" spans="1:8">
      <c r="A106" s="75" t="s">
        <v>27</v>
      </c>
      <c r="B106" s="83">
        <f t="shared" si="84"/>
        <v>0</v>
      </c>
      <c r="C106" s="83">
        <f t="shared" si="84"/>
        <v>0</v>
      </c>
      <c r="D106" s="83">
        <f t="shared" si="84"/>
        <v>0</v>
      </c>
      <c r="E106" s="83">
        <f t="shared" si="84"/>
        <v>0</v>
      </c>
      <c r="F106" s="83">
        <f t="shared" si="84"/>
        <v>0</v>
      </c>
      <c r="G106" s="83">
        <f t="shared" si="84"/>
        <v>0</v>
      </c>
      <c r="H106" s="83">
        <f t="shared" si="84"/>
        <v>0</v>
      </c>
    </row>
    <row r="107" spans="1:8">
      <c r="A107" s="75" t="s">
        <v>47</v>
      </c>
      <c r="B107" s="83">
        <f t="shared" si="84"/>
        <v>0</v>
      </c>
      <c r="C107" s="83">
        <f t="shared" si="84"/>
        <v>0</v>
      </c>
      <c r="D107" s="83">
        <f t="shared" si="84"/>
        <v>0</v>
      </c>
      <c r="E107" s="83">
        <f t="shared" si="84"/>
        <v>0</v>
      </c>
      <c r="F107" s="83">
        <f t="shared" si="84"/>
        <v>0</v>
      </c>
      <c r="G107" s="83">
        <f t="shared" si="84"/>
        <v>0</v>
      </c>
      <c r="H107" s="83">
        <f t="shared" si="84"/>
        <v>0</v>
      </c>
    </row>
    <row r="108" spans="1:8">
      <c r="A108" s="75" t="s">
        <v>12</v>
      </c>
      <c r="B108" s="83">
        <f t="shared" si="84"/>
        <v>0</v>
      </c>
      <c r="C108" s="83">
        <f t="shared" si="84"/>
        <v>0</v>
      </c>
      <c r="D108" s="83">
        <f t="shared" si="84"/>
        <v>0</v>
      </c>
      <c r="E108" s="83">
        <f t="shared" si="84"/>
        <v>0</v>
      </c>
      <c r="F108" s="83">
        <f t="shared" si="84"/>
        <v>0</v>
      </c>
      <c r="G108" s="83">
        <f t="shared" si="84"/>
        <v>0</v>
      </c>
      <c r="H108" s="83">
        <f t="shared" si="84"/>
        <v>0</v>
      </c>
    </row>
    <row r="109" spans="1:8">
      <c r="A109" s="75" t="s">
        <v>29</v>
      </c>
      <c r="B109" s="83">
        <f t="shared" si="84"/>
        <v>0</v>
      </c>
      <c r="C109" s="83">
        <f t="shared" si="84"/>
        <v>0</v>
      </c>
      <c r="D109" s="83">
        <f t="shared" si="84"/>
        <v>0</v>
      </c>
      <c r="E109" s="83">
        <f t="shared" si="84"/>
        <v>0</v>
      </c>
      <c r="F109" s="83">
        <f t="shared" si="84"/>
        <v>0</v>
      </c>
      <c r="G109" s="83">
        <f t="shared" si="84"/>
        <v>0</v>
      </c>
      <c r="H109" s="83">
        <f t="shared" si="84"/>
        <v>0</v>
      </c>
    </row>
    <row r="110" spans="1:8">
      <c r="A110" s="75" t="s">
        <v>48</v>
      </c>
      <c r="B110" s="83">
        <f t="shared" si="84"/>
        <v>0</v>
      </c>
      <c r="C110" s="83">
        <f t="shared" si="84"/>
        <v>0</v>
      </c>
      <c r="D110" s="83">
        <f t="shared" si="84"/>
        <v>0</v>
      </c>
      <c r="E110" s="83">
        <f t="shared" si="84"/>
        <v>0</v>
      </c>
      <c r="F110" s="83">
        <f t="shared" si="84"/>
        <v>0</v>
      </c>
      <c r="G110" s="83">
        <f t="shared" si="84"/>
        <v>0</v>
      </c>
      <c r="H110" s="83">
        <f t="shared" si="84"/>
        <v>0</v>
      </c>
    </row>
    <row r="111" spans="1:8">
      <c r="A111" s="75" t="s">
        <v>12</v>
      </c>
      <c r="B111" s="83">
        <f t="shared" si="84"/>
        <v>0</v>
      </c>
      <c r="C111" s="83">
        <f t="shared" si="84"/>
        <v>0</v>
      </c>
      <c r="D111" s="83">
        <f t="shared" si="84"/>
        <v>0</v>
      </c>
      <c r="E111" s="83" t="e">
        <f t="shared" si="84"/>
        <v>#DIV/0!</v>
      </c>
      <c r="F111" s="83">
        <f t="shared" si="84"/>
        <v>0</v>
      </c>
      <c r="G111" s="83">
        <f t="shared" si="84"/>
        <v>0</v>
      </c>
      <c r="H111" s="83">
        <f t="shared" si="84"/>
        <v>0</v>
      </c>
    </row>
    <row r="112" spans="1:8">
      <c r="A112" s="75" t="s">
        <v>31</v>
      </c>
      <c r="B112" s="83">
        <f t="shared" si="84"/>
        <v>0</v>
      </c>
      <c r="C112" s="83">
        <f t="shared" si="84"/>
        <v>0</v>
      </c>
      <c r="D112" s="83">
        <f t="shared" si="84"/>
        <v>0</v>
      </c>
      <c r="E112" s="83">
        <f t="shared" si="84"/>
        <v>0</v>
      </c>
      <c r="F112" s="83">
        <f t="shared" si="84"/>
        <v>0</v>
      </c>
      <c r="G112" s="83">
        <f t="shared" si="84"/>
        <v>0</v>
      </c>
      <c r="H112" s="83">
        <f t="shared" si="84"/>
        <v>0</v>
      </c>
    </row>
    <row r="113" spans="1:8">
      <c r="A113" s="75" t="s">
        <v>52</v>
      </c>
      <c r="B113" s="83">
        <f t="shared" si="84"/>
        <v>0</v>
      </c>
      <c r="C113" s="83">
        <f t="shared" si="84"/>
        <v>0</v>
      </c>
      <c r="D113" s="83">
        <f t="shared" si="84"/>
        <v>1</v>
      </c>
      <c r="E113" s="83">
        <f t="shared" si="84"/>
        <v>0</v>
      </c>
      <c r="F113" s="83">
        <f t="shared" si="84"/>
        <v>0</v>
      </c>
      <c r="G113" s="83">
        <f t="shared" si="84"/>
        <v>0</v>
      </c>
      <c r="H113" s="83">
        <f t="shared" si="84"/>
        <v>0</v>
      </c>
    </row>
    <row r="114" spans="1:8">
      <c r="A114" s="75" t="s">
        <v>12</v>
      </c>
      <c r="B114" s="83">
        <f t="shared" si="84"/>
        <v>0</v>
      </c>
      <c r="C114" s="83">
        <f t="shared" si="84"/>
        <v>0</v>
      </c>
      <c r="D114" s="83">
        <f t="shared" si="84"/>
        <v>1.6641704110497813E-2</v>
      </c>
      <c r="E114" s="83">
        <f t="shared" si="84"/>
        <v>0</v>
      </c>
      <c r="F114" s="83">
        <f t="shared" si="84"/>
        <v>0</v>
      </c>
      <c r="G114" s="83">
        <f t="shared" si="84"/>
        <v>0</v>
      </c>
      <c r="H114" s="83">
        <f t="shared" si="84"/>
        <v>0</v>
      </c>
    </row>
  </sheetData>
  <mergeCells count="19">
    <mergeCell ref="AA19:AH19"/>
    <mergeCell ref="R8:Y8"/>
    <mergeCell ref="AA8:AH8"/>
    <mergeCell ref="B1:H1"/>
    <mergeCell ref="B2:H2"/>
    <mergeCell ref="A5:H5"/>
    <mergeCell ref="AJ19:AQ19"/>
    <mergeCell ref="AJ8:AQ8"/>
    <mergeCell ref="A4:H4"/>
    <mergeCell ref="A8:H8"/>
    <mergeCell ref="J8:Q8"/>
    <mergeCell ref="AJ12:AQ12"/>
    <mergeCell ref="A12:H12"/>
    <mergeCell ref="J12:Q12"/>
    <mergeCell ref="R12:Y12"/>
    <mergeCell ref="AA12:AH12"/>
    <mergeCell ref="A19:H19"/>
    <mergeCell ref="J19:Q19"/>
    <mergeCell ref="R19:Y19"/>
  </mergeCells>
  <phoneticPr fontId="17" type="noConversion"/>
  <pageMargins left="0.2" right="0.16" top="0.23" bottom="0.4" header="0.14000000000000001" footer="0.2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/>
  <dimension ref="A1:AW114"/>
  <sheetViews>
    <sheetView zoomScale="85" zoomScaleNormal="85" workbookViewId="0">
      <selection activeCell="A9" sqref="A9:AH40"/>
    </sheetView>
  </sheetViews>
  <sheetFormatPr defaultRowHeight="13.2"/>
  <cols>
    <col min="1" max="1" width="14.5546875" customWidth="1"/>
    <col min="9" max="9" width="6.33203125" customWidth="1"/>
    <col min="10" max="10" width="15" customWidth="1"/>
    <col min="11" max="11" width="6.5546875" customWidth="1"/>
    <col min="12" max="12" width="7" customWidth="1"/>
    <col min="13" max="13" width="7.109375" customWidth="1"/>
    <col min="14" max="14" width="6.6640625" customWidth="1"/>
    <col min="18" max="18" width="16" customWidth="1"/>
    <col min="19" max="20" width="7.6640625" customWidth="1"/>
    <col min="22" max="22" width="6.109375" customWidth="1"/>
    <col min="23" max="23" width="6.88671875" customWidth="1"/>
    <col min="24" max="24" width="7.88671875" customWidth="1"/>
    <col min="25" max="25" width="6.6640625" customWidth="1"/>
    <col min="26" max="26" width="8" customWidth="1"/>
    <col min="27" max="27" width="16.5546875" customWidth="1"/>
    <col min="28" max="28" width="5.6640625" customWidth="1"/>
    <col min="29" max="29" width="8.33203125" customWidth="1"/>
    <col min="31" max="31" width="5.88671875" customWidth="1"/>
  </cols>
  <sheetData>
    <row r="1" spans="1:44" s="37" customFormat="1" ht="10.5" customHeight="1">
      <c r="Q1" s="38" t="s">
        <v>33</v>
      </c>
    </row>
    <row r="2" spans="1:44" s="12" customFormat="1" ht="13.5" customHeight="1">
      <c r="H2" s="39" t="s">
        <v>34</v>
      </c>
      <c r="I2" s="39"/>
    </row>
    <row r="3" spans="1:44" s="12" customFormat="1" ht="15" customHeight="1">
      <c r="B3" s="12" t="s">
        <v>96</v>
      </c>
      <c r="C3"/>
      <c r="D3"/>
      <c r="E3"/>
      <c r="F3"/>
      <c r="G3"/>
      <c r="H3"/>
      <c r="I3"/>
    </row>
    <row r="4" spans="1:44" s="37" customFormat="1" ht="31.5" customHeight="1">
      <c r="A4" s="494" t="s">
        <v>112</v>
      </c>
      <c r="B4" s="494"/>
      <c r="C4" s="494"/>
      <c r="D4" s="494"/>
      <c r="E4" s="494"/>
      <c r="F4" s="494"/>
      <c r="G4" s="494"/>
      <c r="H4" s="494"/>
      <c r="I4" s="226"/>
      <c r="J4" s="40"/>
      <c r="K4" s="40"/>
      <c r="L4" s="12"/>
      <c r="M4" s="12"/>
      <c r="N4" s="12"/>
      <c r="O4" s="12"/>
      <c r="P4" s="12"/>
      <c r="Q4" s="12"/>
      <c r="R4" s="12"/>
    </row>
    <row r="5" spans="1:44" ht="16.5" customHeight="1">
      <c r="A5" s="13" t="s">
        <v>35</v>
      </c>
      <c r="B5" s="1"/>
      <c r="C5" s="1"/>
      <c r="D5" s="1"/>
      <c r="F5" s="10"/>
      <c r="G5" s="1"/>
      <c r="H5" s="1"/>
      <c r="I5" s="1"/>
      <c r="J5" s="2" t="s">
        <v>36</v>
      </c>
      <c r="P5" s="2"/>
      <c r="Q5" s="115"/>
      <c r="R5" s="13" t="s">
        <v>37</v>
      </c>
      <c r="X5" s="13"/>
      <c r="Y5" s="13"/>
      <c r="Z5" s="13"/>
      <c r="AA5" s="34" t="s">
        <v>38</v>
      </c>
      <c r="AD5" s="34"/>
      <c r="AE5" s="34"/>
      <c r="AF5" s="34"/>
      <c r="AG5" s="34"/>
      <c r="AH5" s="34"/>
      <c r="AI5" s="54"/>
      <c r="AJ5" s="2" t="s">
        <v>58</v>
      </c>
      <c r="AR5" s="2"/>
    </row>
    <row r="6" spans="1:44">
      <c r="A6" s="3" t="s">
        <v>0</v>
      </c>
      <c r="B6" s="4" t="s">
        <v>1</v>
      </c>
      <c r="C6" s="55" t="s">
        <v>2</v>
      </c>
      <c r="D6" s="4" t="s">
        <v>3</v>
      </c>
      <c r="E6" s="55" t="s">
        <v>4</v>
      </c>
      <c r="F6" s="4" t="s">
        <v>5</v>
      </c>
      <c r="G6" s="55" t="s">
        <v>6</v>
      </c>
      <c r="H6" s="4" t="s">
        <v>7</v>
      </c>
      <c r="I6" s="1"/>
      <c r="J6" s="56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4" t="s">
        <v>7</v>
      </c>
      <c r="Z6" s="58"/>
      <c r="AA6" s="59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4">
      <c r="A7" s="5"/>
      <c r="B7" s="5" t="s">
        <v>8</v>
      </c>
      <c r="C7" s="60" t="s">
        <v>9</v>
      </c>
      <c r="D7" s="5" t="s">
        <v>10</v>
      </c>
      <c r="E7" s="60" t="s">
        <v>9</v>
      </c>
      <c r="F7" s="5" t="s">
        <v>9</v>
      </c>
      <c r="G7" s="60" t="s">
        <v>9</v>
      </c>
      <c r="H7" s="5" t="s">
        <v>9</v>
      </c>
      <c r="I7" s="1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5" t="s">
        <v>9</v>
      </c>
      <c r="Z7" s="58"/>
      <c r="AA7" s="28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4" s="115" customFormat="1">
      <c r="A8" s="62" t="s">
        <v>17</v>
      </c>
      <c r="B8" s="393"/>
      <c r="C8" s="393"/>
      <c r="D8" s="393"/>
      <c r="E8" s="393"/>
      <c r="F8" s="393"/>
      <c r="G8" s="393"/>
      <c r="H8" s="393"/>
      <c r="J8" s="33" t="s">
        <v>17</v>
      </c>
      <c r="K8" s="64"/>
      <c r="L8" s="64"/>
      <c r="M8" s="64"/>
      <c r="N8" s="64"/>
      <c r="O8" s="64"/>
      <c r="P8" s="64"/>
      <c r="Q8" s="64"/>
      <c r="R8" s="33" t="s">
        <v>17</v>
      </c>
      <c r="S8" s="64"/>
      <c r="T8" s="64"/>
      <c r="U8" s="64"/>
      <c r="V8" s="64"/>
      <c r="W8" s="64"/>
      <c r="X8" s="64"/>
      <c r="Y8" s="64"/>
      <c r="Z8" s="252"/>
      <c r="AA8" s="63" t="s">
        <v>17</v>
      </c>
      <c r="AB8" s="64"/>
      <c r="AC8" s="64"/>
      <c r="AD8" s="64"/>
      <c r="AE8" s="64"/>
      <c r="AF8" s="64"/>
      <c r="AG8" s="64"/>
      <c r="AH8" s="64"/>
      <c r="AJ8" s="33" t="s">
        <v>17</v>
      </c>
      <c r="AK8" s="64"/>
      <c r="AL8" s="64"/>
      <c r="AM8" s="64"/>
      <c r="AN8" s="64"/>
      <c r="AO8" s="64"/>
      <c r="AP8" s="64"/>
      <c r="AQ8" s="64"/>
    </row>
    <row r="9" spans="1:44" s="218" customFormat="1" ht="13.8">
      <c r="A9" s="116" t="s">
        <v>40</v>
      </c>
      <c r="B9" s="249">
        <f>+K9+S9+AK9</f>
        <v>714.80000000000007</v>
      </c>
      <c r="C9" s="249">
        <f>+L9+T9+AL9</f>
        <v>31574</v>
      </c>
      <c r="D9" s="249">
        <f>D13+D20</f>
        <v>27450</v>
      </c>
      <c r="E9" s="249">
        <f t="shared" ref="E9:H10" si="0">+N9+V9+AN9</f>
        <v>1311</v>
      </c>
      <c r="F9" s="249">
        <f t="shared" si="0"/>
        <v>6469</v>
      </c>
      <c r="G9" s="249">
        <f t="shared" si="0"/>
        <v>984</v>
      </c>
      <c r="H9" s="249">
        <f t="shared" si="0"/>
        <v>18686</v>
      </c>
      <c r="J9" s="116" t="s">
        <v>40</v>
      </c>
      <c r="K9" s="249">
        <f t="shared" ref="K9:Q10" si="1">K13+K20</f>
        <v>260.39999999999998</v>
      </c>
      <c r="L9" s="249">
        <f t="shared" si="1"/>
        <v>6540</v>
      </c>
      <c r="M9" s="249">
        <f t="shared" si="1"/>
        <v>5412</v>
      </c>
      <c r="N9" s="249">
        <f t="shared" si="1"/>
        <v>223</v>
      </c>
      <c r="O9" s="249">
        <f t="shared" si="1"/>
        <v>1816</v>
      </c>
      <c r="P9" s="249">
        <f t="shared" si="1"/>
        <v>317</v>
      </c>
      <c r="Q9" s="249">
        <f t="shared" si="1"/>
        <v>3056</v>
      </c>
      <c r="R9" s="116" t="s">
        <v>40</v>
      </c>
      <c r="S9" s="249">
        <f t="shared" ref="S9:Y10" si="2">S13+S20</f>
        <v>432.8</v>
      </c>
      <c r="T9" s="249">
        <f t="shared" si="2"/>
        <v>23809</v>
      </c>
      <c r="U9" s="249">
        <f t="shared" si="2"/>
        <v>21042</v>
      </c>
      <c r="V9" s="249">
        <f t="shared" si="2"/>
        <v>1066</v>
      </c>
      <c r="W9" s="249">
        <f t="shared" si="2"/>
        <v>4503</v>
      </c>
      <c r="X9" s="249">
        <f t="shared" si="2"/>
        <v>626</v>
      </c>
      <c r="Y9" s="249">
        <f t="shared" si="2"/>
        <v>14847</v>
      </c>
      <c r="Z9" s="250"/>
      <c r="AA9" s="117" t="s">
        <v>40</v>
      </c>
      <c r="AB9" s="249">
        <f t="shared" ref="AB9:AH10" si="3">AB13+AB20</f>
        <v>15.2</v>
      </c>
      <c r="AC9" s="249">
        <f t="shared" si="3"/>
        <v>1018</v>
      </c>
      <c r="AD9" s="249">
        <f t="shared" si="3"/>
        <v>861</v>
      </c>
      <c r="AE9" s="249">
        <f t="shared" si="3"/>
        <v>308</v>
      </c>
      <c r="AF9" s="249">
        <f t="shared" si="3"/>
        <v>139</v>
      </c>
      <c r="AG9" s="249">
        <f t="shared" si="3"/>
        <v>23</v>
      </c>
      <c r="AH9" s="249">
        <f t="shared" si="3"/>
        <v>391</v>
      </c>
      <c r="AJ9" s="116" t="s">
        <v>40</v>
      </c>
      <c r="AK9" s="249">
        <f t="shared" ref="AK9:AQ10" si="4">AK13+AK20</f>
        <v>21.6</v>
      </c>
      <c r="AL9" s="249">
        <f t="shared" si="4"/>
        <v>1225</v>
      </c>
      <c r="AM9" s="249">
        <f t="shared" si="4"/>
        <v>996</v>
      </c>
      <c r="AN9" s="249">
        <f t="shared" si="4"/>
        <v>22</v>
      </c>
      <c r="AO9" s="249">
        <f t="shared" si="4"/>
        <v>150</v>
      </c>
      <c r="AP9" s="249">
        <f t="shared" si="4"/>
        <v>41</v>
      </c>
      <c r="AQ9" s="249">
        <f t="shared" si="4"/>
        <v>783</v>
      </c>
    </row>
    <row r="10" spans="1:44" s="115" customFormat="1">
      <c r="A10" s="7" t="s">
        <v>41</v>
      </c>
      <c r="B10" s="251">
        <f>+K10+S10+AK10</f>
        <v>729.1</v>
      </c>
      <c r="C10" s="64">
        <f>+L10+T10+AL10</f>
        <v>31475</v>
      </c>
      <c r="D10" s="64">
        <f>E10+F10+G10+H10</f>
        <v>28751</v>
      </c>
      <c r="E10" s="64">
        <f t="shared" si="0"/>
        <v>2984</v>
      </c>
      <c r="F10" s="64">
        <f t="shared" si="0"/>
        <v>4017</v>
      </c>
      <c r="G10" s="64">
        <f t="shared" si="0"/>
        <v>774</v>
      </c>
      <c r="H10" s="64">
        <f t="shared" si="0"/>
        <v>20976</v>
      </c>
      <c r="J10" s="7" t="s">
        <v>41</v>
      </c>
      <c r="K10" s="187">
        <f>K14+K21</f>
        <v>331.5</v>
      </c>
      <c r="L10" s="188">
        <f t="shared" si="1"/>
        <v>11309</v>
      </c>
      <c r="M10" s="188">
        <f t="shared" si="1"/>
        <v>10188</v>
      </c>
      <c r="N10" s="188">
        <f t="shared" si="1"/>
        <v>849</v>
      </c>
      <c r="O10" s="188">
        <f t="shared" si="1"/>
        <v>1386</v>
      </c>
      <c r="P10" s="188">
        <f t="shared" si="1"/>
        <v>143</v>
      </c>
      <c r="Q10" s="188">
        <f t="shared" si="1"/>
        <v>7810</v>
      </c>
      <c r="R10" s="7" t="s">
        <v>41</v>
      </c>
      <c r="S10" s="251">
        <f t="shared" si="2"/>
        <v>397.6</v>
      </c>
      <c r="T10" s="64">
        <f t="shared" si="2"/>
        <v>20166</v>
      </c>
      <c r="U10" s="64">
        <f t="shared" si="2"/>
        <v>18563</v>
      </c>
      <c r="V10" s="64">
        <f t="shared" si="2"/>
        <v>2135</v>
      </c>
      <c r="W10" s="64">
        <f t="shared" si="2"/>
        <v>2631</v>
      </c>
      <c r="X10" s="64">
        <f t="shared" si="2"/>
        <v>631</v>
      </c>
      <c r="Y10" s="64">
        <f t="shared" si="2"/>
        <v>13166</v>
      </c>
      <c r="Z10" s="252"/>
      <c r="AA10" s="65" t="s">
        <v>41</v>
      </c>
      <c r="AB10" s="187">
        <f>AB14+AB21</f>
        <v>8.9</v>
      </c>
      <c r="AC10" s="188">
        <f t="shared" si="3"/>
        <v>880</v>
      </c>
      <c r="AD10" s="188">
        <f t="shared" si="3"/>
        <v>835</v>
      </c>
      <c r="AE10" s="188">
        <f t="shared" si="3"/>
        <v>84</v>
      </c>
      <c r="AF10" s="188">
        <f t="shared" si="3"/>
        <v>144</v>
      </c>
      <c r="AG10" s="188">
        <f t="shared" si="3"/>
        <v>43</v>
      </c>
      <c r="AH10" s="188">
        <f t="shared" si="3"/>
        <v>564</v>
      </c>
      <c r="AJ10" s="7" t="s">
        <v>41</v>
      </c>
      <c r="AK10" s="251">
        <f>AK14+AK21</f>
        <v>0</v>
      </c>
      <c r="AL10" s="188">
        <f t="shared" si="4"/>
        <v>0</v>
      </c>
      <c r="AM10" s="188">
        <f t="shared" si="4"/>
        <v>0</v>
      </c>
      <c r="AN10" s="188">
        <f t="shared" si="4"/>
        <v>0</v>
      </c>
      <c r="AO10" s="188">
        <f t="shared" si="4"/>
        <v>0</v>
      </c>
      <c r="AP10" s="188">
        <f t="shared" si="4"/>
        <v>0</v>
      </c>
      <c r="AQ10" s="188">
        <f t="shared" si="4"/>
        <v>0</v>
      </c>
    </row>
    <row r="11" spans="1:44" s="115" customFormat="1">
      <c r="A11" s="33" t="s">
        <v>20</v>
      </c>
      <c r="B11" s="188">
        <f t="shared" ref="B11:H11" si="5">B10/B9*100</f>
        <v>102.00055959709009</v>
      </c>
      <c r="C11" s="188">
        <f t="shared" si="5"/>
        <v>99.686450877304111</v>
      </c>
      <c r="D11" s="188">
        <f t="shared" si="5"/>
        <v>104.73952641165755</v>
      </c>
      <c r="E11" s="188">
        <f t="shared" si="5"/>
        <v>227.61250953470636</v>
      </c>
      <c r="F11" s="188">
        <f t="shared" si="5"/>
        <v>62.096150873396198</v>
      </c>
      <c r="G11" s="188">
        <f t="shared" si="5"/>
        <v>78.658536585365852</v>
      </c>
      <c r="H11" s="188">
        <f t="shared" si="5"/>
        <v>112.25516429412394</v>
      </c>
      <c r="I11" s="303"/>
      <c r="J11" s="33" t="s">
        <v>20</v>
      </c>
      <c r="K11" s="188">
        <f t="shared" ref="K11:Q11" si="6">K10/K9*100</f>
        <v>127.30414746543779</v>
      </c>
      <c r="L11" s="188">
        <f t="shared" si="6"/>
        <v>172.92048929663608</v>
      </c>
      <c r="M11" s="188">
        <f t="shared" si="6"/>
        <v>188.24833702882484</v>
      </c>
      <c r="N11" s="188">
        <f t="shared" si="6"/>
        <v>380.71748878923768</v>
      </c>
      <c r="O11" s="188">
        <f t="shared" si="6"/>
        <v>76.321585903083701</v>
      </c>
      <c r="P11" s="188">
        <f t="shared" si="6"/>
        <v>45.110410094637224</v>
      </c>
      <c r="Q11" s="188">
        <f t="shared" si="6"/>
        <v>255.56282722513092</v>
      </c>
      <c r="R11" s="33" t="s">
        <v>20</v>
      </c>
      <c r="S11" s="188">
        <f t="shared" ref="S11:Y11" si="7">S10/S9*100</f>
        <v>91.866913123844739</v>
      </c>
      <c r="T11" s="188">
        <f t="shared" si="7"/>
        <v>84.699063379394346</v>
      </c>
      <c r="U11" s="188">
        <f t="shared" si="7"/>
        <v>88.218800494249592</v>
      </c>
      <c r="V11" s="188">
        <f t="shared" si="7"/>
        <v>200.28142589118198</v>
      </c>
      <c r="W11" s="188">
        <f t="shared" si="7"/>
        <v>58.427714856762158</v>
      </c>
      <c r="X11" s="188">
        <f t="shared" si="7"/>
        <v>100.79872204472844</v>
      </c>
      <c r="Y11" s="188">
        <f t="shared" si="7"/>
        <v>88.677847376574391</v>
      </c>
      <c r="Z11" s="253"/>
      <c r="AA11" s="63" t="s">
        <v>20</v>
      </c>
      <c r="AB11" s="188">
        <f t="shared" ref="AB11:AH11" si="8">AB10/AB9*100</f>
        <v>58.552631578947377</v>
      </c>
      <c r="AC11" s="188">
        <f t="shared" si="8"/>
        <v>86.444007858546172</v>
      </c>
      <c r="AD11" s="188">
        <f t="shared" si="8"/>
        <v>96.980255516840884</v>
      </c>
      <c r="AE11" s="188">
        <f t="shared" si="8"/>
        <v>27.27272727272727</v>
      </c>
      <c r="AF11" s="188">
        <f t="shared" si="8"/>
        <v>103.59712230215827</v>
      </c>
      <c r="AG11" s="188">
        <f t="shared" si="8"/>
        <v>186.95652173913044</v>
      </c>
      <c r="AH11" s="188">
        <f t="shared" si="8"/>
        <v>144.2455242966752</v>
      </c>
      <c r="AI11" s="303"/>
      <c r="AJ11" s="33" t="s">
        <v>20</v>
      </c>
      <c r="AK11" s="188">
        <f t="shared" ref="AK11:AQ11" si="9">AK10/AK9*100</f>
        <v>0</v>
      </c>
      <c r="AL11" s="188">
        <f t="shared" si="9"/>
        <v>0</v>
      </c>
      <c r="AM11" s="188">
        <f t="shared" si="9"/>
        <v>0</v>
      </c>
      <c r="AN11" s="188">
        <f t="shared" si="9"/>
        <v>0</v>
      </c>
      <c r="AO11" s="188">
        <f t="shared" si="9"/>
        <v>0</v>
      </c>
      <c r="AP11" s="188">
        <f t="shared" si="9"/>
        <v>0</v>
      </c>
      <c r="AQ11" s="188">
        <f t="shared" si="9"/>
        <v>0</v>
      </c>
    </row>
    <row r="12" spans="1:44">
      <c r="A12" s="6" t="s">
        <v>11</v>
      </c>
      <c r="B12" s="232"/>
      <c r="C12" s="232"/>
      <c r="D12" s="232"/>
      <c r="E12" s="232"/>
      <c r="F12" s="232"/>
      <c r="G12" s="232"/>
      <c r="H12" s="232"/>
      <c r="J12" s="6" t="s">
        <v>11</v>
      </c>
      <c r="K12" s="232"/>
      <c r="L12" s="232"/>
      <c r="M12" s="232">
        <f>N12+O12+P12+Q12</f>
        <v>0</v>
      </c>
      <c r="N12" s="232"/>
      <c r="O12" s="232"/>
      <c r="P12" s="232"/>
      <c r="Q12" s="232"/>
      <c r="R12" s="6" t="s">
        <v>11</v>
      </c>
      <c r="S12" s="232"/>
      <c r="T12" s="232"/>
      <c r="U12" s="232"/>
      <c r="V12" s="232"/>
      <c r="W12" s="232"/>
      <c r="X12" s="232"/>
      <c r="Y12" s="232"/>
      <c r="Z12" s="67"/>
      <c r="AA12" s="68" t="s">
        <v>11</v>
      </c>
      <c r="AB12" s="232"/>
      <c r="AC12" s="232"/>
      <c r="AD12" s="64"/>
      <c r="AE12" s="232"/>
      <c r="AF12" s="232"/>
      <c r="AG12" s="232"/>
      <c r="AH12" s="232"/>
      <c r="AJ12" s="6" t="s">
        <v>11</v>
      </c>
      <c r="AK12" s="232"/>
      <c r="AL12" s="232"/>
      <c r="AM12" s="232"/>
      <c r="AN12" s="232"/>
      <c r="AO12" s="232"/>
      <c r="AP12" s="232"/>
      <c r="AQ12" s="232"/>
    </row>
    <row r="13" spans="1:44" s="219" customFormat="1">
      <c r="A13" s="118" t="s">
        <v>40</v>
      </c>
      <c r="B13" s="119">
        <f>+K13+S13+AK13</f>
        <v>19.3</v>
      </c>
      <c r="C13" s="119">
        <f>+L13+T13+AL13</f>
        <v>1335</v>
      </c>
      <c r="D13" s="119">
        <f>E13+F13+G13+H13</f>
        <v>975</v>
      </c>
      <c r="E13" s="119">
        <f t="shared" ref="E13:H14" si="10">+N13+V13+AN13</f>
        <v>183</v>
      </c>
      <c r="F13" s="119">
        <f t="shared" si="10"/>
        <v>403</v>
      </c>
      <c r="G13" s="119">
        <f t="shared" si="10"/>
        <v>72</v>
      </c>
      <c r="H13" s="119">
        <f t="shared" si="10"/>
        <v>317</v>
      </c>
      <c r="J13" s="118" t="s">
        <v>40</v>
      </c>
      <c r="K13" s="119">
        <v>14.4</v>
      </c>
      <c r="L13" s="119">
        <v>894</v>
      </c>
      <c r="M13" s="119">
        <f>N13+O13+P13+Q13</f>
        <v>647</v>
      </c>
      <c r="N13" s="119">
        <v>38</v>
      </c>
      <c r="O13" s="119">
        <v>368</v>
      </c>
      <c r="P13" s="119">
        <v>63</v>
      </c>
      <c r="Q13" s="119">
        <v>178</v>
      </c>
      <c r="R13" s="118" t="s">
        <v>40</v>
      </c>
      <c r="S13" s="119">
        <v>2.8</v>
      </c>
      <c r="T13" s="119">
        <v>243</v>
      </c>
      <c r="U13" s="119">
        <f>V13+W13+X13+Y13</f>
        <v>199</v>
      </c>
      <c r="V13" s="119">
        <v>136</v>
      </c>
      <c r="W13" s="119">
        <v>10</v>
      </c>
      <c r="X13" s="119">
        <v>3</v>
      </c>
      <c r="Y13" s="119">
        <v>50</v>
      </c>
      <c r="Z13" s="254"/>
      <c r="AA13" s="120" t="s">
        <v>40</v>
      </c>
      <c r="AB13" s="119">
        <v>2.6</v>
      </c>
      <c r="AC13" s="119">
        <v>237</v>
      </c>
      <c r="AD13" s="119">
        <f>AE13+AF13+AG13+AH13</f>
        <v>194</v>
      </c>
      <c r="AE13" s="119">
        <v>133</v>
      </c>
      <c r="AF13" s="119">
        <v>10</v>
      </c>
      <c r="AG13" s="119">
        <v>3</v>
      </c>
      <c r="AH13" s="119">
        <v>48</v>
      </c>
      <c r="AJ13" s="118" t="s">
        <v>40</v>
      </c>
      <c r="AK13" s="119">
        <v>2.1</v>
      </c>
      <c r="AL13" s="119">
        <v>198</v>
      </c>
      <c r="AM13" s="119">
        <f>AN13+AO13+AP13+AQ13</f>
        <v>129</v>
      </c>
      <c r="AN13" s="119">
        <v>9</v>
      </c>
      <c r="AO13" s="119">
        <v>25</v>
      </c>
      <c r="AP13" s="119">
        <v>6</v>
      </c>
      <c r="AQ13" s="119">
        <v>89</v>
      </c>
    </row>
    <row r="14" spans="1:44">
      <c r="A14" s="69" t="s">
        <v>41</v>
      </c>
      <c r="B14" s="187">
        <f>+K14+S14+AK14</f>
        <v>0</v>
      </c>
      <c r="C14" s="64">
        <f>+L14+T14+AL14</f>
        <v>0</v>
      </c>
      <c r="D14" s="64">
        <f>E14+F14+G14+H14</f>
        <v>0</v>
      </c>
      <c r="E14" s="64">
        <f t="shared" si="10"/>
        <v>0</v>
      </c>
      <c r="F14" s="64">
        <f t="shared" si="10"/>
        <v>0</v>
      </c>
      <c r="G14" s="64">
        <f t="shared" si="10"/>
        <v>0</v>
      </c>
      <c r="H14" s="64">
        <f t="shared" si="10"/>
        <v>0</v>
      </c>
      <c r="J14" s="69" t="s">
        <v>41</v>
      </c>
      <c r="K14" s="187"/>
      <c r="L14" s="64"/>
      <c r="M14" s="64">
        <f>N14+O14+P14+Q14</f>
        <v>0</v>
      </c>
      <c r="N14" s="64"/>
      <c r="O14" s="64"/>
      <c r="P14" s="64"/>
      <c r="Q14" s="64"/>
      <c r="R14" s="69" t="s">
        <v>41</v>
      </c>
      <c r="S14" s="232"/>
      <c r="T14" s="232"/>
      <c r="U14" s="232">
        <f>V14+W14+X14+Y14</f>
        <v>0</v>
      </c>
      <c r="V14" s="232"/>
      <c r="W14" s="232"/>
      <c r="X14" s="232"/>
      <c r="Y14" s="232"/>
      <c r="Z14" s="67"/>
      <c r="AA14" s="70" t="s">
        <v>41</v>
      </c>
      <c r="AB14" s="232"/>
      <c r="AC14" s="232"/>
      <c r="AD14" s="232">
        <f>AE14+AF14+AG14+AH14</f>
        <v>0</v>
      </c>
      <c r="AE14" s="232"/>
      <c r="AF14" s="232"/>
      <c r="AG14" s="232"/>
      <c r="AH14" s="232"/>
      <c r="AJ14" s="69" t="s">
        <v>41</v>
      </c>
      <c r="AK14" s="251"/>
      <c r="AL14" s="64"/>
      <c r="AM14" s="64">
        <f>AN14+AO14+AP14+AQ14</f>
        <v>0</v>
      </c>
      <c r="AN14" s="64"/>
      <c r="AO14" s="64"/>
      <c r="AP14" s="64"/>
      <c r="AQ14" s="64"/>
    </row>
    <row r="15" spans="1:44">
      <c r="A15" s="6" t="s">
        <v>20</v>
      </c>
      <c r="B15" s="51">
        <f t="shared" ref="B15:H15" si="11">B14/B13*100</f>
        <v>0</v>
      </c>
      <c r="C15" s="51">
        <f t="shared" si="11"/>
        <v>0</v>
      </c>
      <c r="D15" s="51">
        <f t="shared" si="11"/>
        <v>0</v>
      </c>
      <c r="E15" s="51">
        <f t="shared" si="11"/>
        <v>0</v>
      </c>
      <c r="F15" s="51">
        <f t="shared" si="11"/>
        <v>0</v>
      </c>
      <c r="G15" s="51">
        <f t="shared" si="11"/>
        <v>0</v>
      </c>
      <c r="H15" s="51">
        <f t="shared" si="11"/>
        <v>0</v>
      </c>
      <c r="I15" s="21"/>
      <c r="J15" s="6" t="s">
        <v>20</v>
      </c>
      <c r="K15" s="122">
        <f t="shared" ref="K15:Q15" si="12">K14/K13*100</f>
        <v>0</v>
      </c>
      <c r="L15" s="51">
        <f t="shared" si="12"/>
        <v>0</v>
      </c>
      <c r="M15" s="51">
        <f t="shared" si="12"/>
        <v>0</v>
      </c>
      <c r="N15" s="51">
        <f t="shared" si="12"/>
        <v>0</v>
      </c>
      <c r="O15" s="51">
        <f t="shared" si="12"/>
        <v>0</v>
      </c>
      <c r="P15" s="51">
        <f t="shared" si="12"/>
        <v>0</v>
      </c>
      <c r="Q15" s="51">
        <f t="shared" si="12"/>
        <v>0</v>
      </c>
      <c r="R15" s="6" t="s">
        <v>20</v>
      </c>
      <c r="S15" s="51">
        <f t="shared" ref="S15:Y15" si="13">S14/S13*100</f>
        <v>0</v>
      </c>
      <c r="T15" s="51">
        <f t="shared" si="13"/>
        <v>0</v>
      </c>
      <c r="U15" s="51">
        <f t="shared" si="13"/>
        <v>0</v>
      </c>
      <c r="V15" s="51">
        <f t="shared" si="13"/>
        <v>0</v>
      </c>
      <c r="W15" s="51">
        <f t="shared" si="13"/>
        <v>0</v>
      </c>
      <c r="X15" s="51">
        <f t="shared" si="13"/>
        <v>0</v>
      </c>
      <c r="Y15" s="51">
        <f t="shared" si="13"/>
        <v>0</v>
      </c>
      <c r="Z15" s="67"/>
      <c r="AA15" s="68" t="s">
        <v>20</v>
      </c>
      <c r="AB15" s="122">
        <f t="shared" ref="AB15:AH15" si="14">AB14/AB13*100</f>
        <v>0</v>
      </c>
      <c r="AC15" s="122">
        <f t="shared" si="14"/>
        <v>0</v>
      </c>
      <c r="AD15" s="122">
        <f t="shared" si="14"/>
        <v>0</v>
      </c>
      <c r="AE15" s="122">
        <f t="shared" si="14"/>
        <v>0</v>
      </c>
      <c r="AF15" s="122">
        <f t="shared" si="14"/>
        <v>0</v>
      </c>
      <c r="AG15" s="122">
        <f t="shared" si="14"/>
        <v>0</v>
      </c>
      <c r="AH15" s="122">
        <f t="shared" si="14"/>
        <v>0</v>
      </c>
      <c r="AJ15" s="6" t="s">
        <v>20</v>
      </c>
      <c r="AK15" s="227">
        <f t="shared" ref="AK15:AQ15" si="15">AK14/AK13*100</f>
        <v>0</v>
      </c>
      <c r="AL15" s="227">
        <f t="shared" si="15"/>
        <v>0</v>
      </c>
      <c r="AM15" s="227">
        <f t="shared" si="15"/>
        <v>0</v>
      </c>
      <c r="AN15" s="227">
        <f t="shared" si="15"/>
        <v>0</v>
      </c>
      <c r="AO15" s="227">
        <f t="shared" si="15"/>
        <v>0</v>
      </c>
      <c r="AP15" s="227">
        <f t="shared" si="15"/>
        <v>0</v>
      </c>
      <c r="AQ15" s="227">
        <f t="shared" si="15"/>
        <v>0</v>
      </c>
    </row>
    <row r="16" spans="1:44">
      <c r="A16" s="6" t="s">
        <v>13</v>
      </c>
      <c r="B16" s="122">
        <f t="shared" ref="B16:C18" si="16">+K16+S16+AK16</f>
        <v>0</v>
      </c>
      <c r="C16" s="232">
        <f t="shared" si="16"/>
        <v>0</v>
      </c>
      <c r="D16" s="232">
        <f>E16+F16+G16+H16</f>
        <v>0</v>
      </c>
      <c r="E16" s="232">
        <f t="shared" ref="E16:H18" si="17">+N16+V16+AN16</f>
        <v>0</v>
      </c>
      <c r="F16" s="232">
        <f t="shared" si="17"/>
        <v>0</v>
      </c>
      <c r="G16" s="232">
        <f t="shared" si="17"/>
        <v>0</v>
      </c>
      <c r="H16" s="232">
        <f t="shared" si="17"/>
        <v>0</v>
      </c>
      <c r="J16" s="6" t="s">
        <v>13</v>
      </c>
      <c r="K16" s="232"/>
      <c r="L16" s="232"/>
      <c r="M16" s="232">
        <f>N16+O16+P16+Q16</f>
        <v>0</v>
      </c>
      <c r="N16" s="232">
        <v>0</v>
      </c>
      <c r="O16" s="232"/>
      <c r="P16" s="232">
        <v>0</v>
      </c>
      <c r="Q16" s="232"/>
      <c r="R16" s="6" t="s">
        <v>13</v>
      </c>
      <c r="S16" s="232"/>
      <c r="T16" s="232"/>
      <c r="U16" s="232">
        <f>V16+W16+X16+Y16</f>
        <v>0</v>
      </c>
      <c r="V16" s="232"/>
      <c r="W16" s="232"/>
      <c r="X16" s="232"/>
      <c r="Y16" s="232"/>
      <c r="Z16" s="67"/>
      <c r="AA16" s="68" t="s">
        <v>13</v>
      </c>
      <c r="AB16" s="232"/>
      <c r="AC16" s="232"/>
      <c r="AD16" s="232">
        <f>AE16+AF16+AG16+AH16</f>
        <v>0</v>
      </c>
      <c r="AE16" s="232"/>
      <c r="AF16" s="232"/>
      <c r="AG16" s="232"/>
      <c r="AH16" s="232"/>
      <c r="AJ16" s="6" t="s">
        <v>13</v>
      </c>
      <c r="AK16" s="122"/>
      <c r="AL16" s="232"/>
      <c r="AM16" s="64">
        <f>AN16+AO16+AP16+AQ16</f>
        <v>0</v>
      </c>
      <c r="AN16" s="232">
        <v>0</v>
      </c>
      <c r="AO16" s="232">
        <v>0</v>
      </c>
      <c r="AP16" s="232">
        <v>0</v>
      </c>
      <c r="AQ16" s="232"/>
    </row>
    <row r="17" spans="1:43">
      <c r="A17" s="6" t="s">
        <v>14</v>
      </c>
      <c r="B17" s="232">
        <f t="shared" si="16"/>
        <v>0</v>
      </c>
      <c r="C17" s="232">
        <f t="shared" si="16"/>
        <v>0</v>
      </c>
      <c r="D17" s="232">
        <f>E17+F17+G17+H17</f>
        <v>0</v>
      </c>
      <c r="E17" s="232">
        <f t="shared" si="17"/>
        <v>0</v>
      </c>
      <c r="F17" s="232">
        <f t="shared" si="17"/>
        <v>0</v>
      </c>
      <c r="G17" s="232">
        <f t="shared" si="17"/>
        <v>0</v>
      </c>
      <c r="H17" s="232">
        <f t="shared" si="17"/>
        <v>0</v>
      </c>
      <c r="J17" s="6" t="s">
        <v>14</v>
      </c>
      <c r="K17" s="232"/>
      <c r="L17" s="232"/>
      <c r="M17" s="232">
        <f>N17+O17+P17+Q17</f>
        <v>0</v>
      </c>
      <c r="N17" s="232"/>
      <c r="O17" s="232"/>
      <c r="P17" s="232"/>
      <c r="Q17" s="232"/>
      <c r="R17" s="6" t="s">
        <v>14</v>
      </c>
      <c r="S17" s="232"/>
      <c r="T17" s="232"/>
      <c r="U17" s="232"/>
      <c r="V17" s="232"/>
      <c r="W17" s="232"/>
      <c r="X17" s="232"/>
      <c r="Y17" s="232"/>
      <c r="Z17" s="67"/>
      <c r="AA17" s="68" t="s">
        <v>14</v>
      </c>
      <c r="AB17" s="232"/>
      <c r="AC17" s="232"/>
      <c r="AD17" s="232"/>
      <c r="AE17" s="232"/>
      <c r="AF17" s="232"/>
      <c r="AG17" s="232"/>
      <c r="AH17" s="232"/>
      <c r="AJ17" s="6" t="s">
        <v>14</v>
      </c>
      <c r="AK17" s="232"/>
      <c r="AL17" s="232"/>
      <c r="AM17" s="232"/>
      <c r="AN17" s="232"/>
      <c r="AO17" s="232"/>
      <c r="AP17" s="232"/>
      <c r="AQ17" s="232"/>
    </row>
    <row r="18" spans="1:43">
      <c r="A18" s="6" t="s">
        <v>15</v>
      </c>
      <c r="B18" s="232">
        <f t="shared" si="16"/>
        <v>0</v>
      </c>
      <c r="C18" s="232">
        <f t="shared" si="16"/>
        <v>0</v>
      </c>
      <c r="D18" s="232">
        <f>E18+F18+G18+H18</f>
        <v>0</v>
      </c>
      <c r="E18" s="232">
        <f t="shared" si="17"/>
        <v>0</v>
      </c>
      <c r="F18" s="232">
        <f t="shared" si="17"/>
        <v>0</v>
      </c>
      <c r="G18" s="232">
        <f t="shared" si="17"/>
        <v>0</v>
      </c>
      <c r="H18" s="232">
        <f t="shared" si="17"/>
        <v>0</v>
      </c>
      <c r="J18" s="6" t="s">
        <v>15</v>
      </c>
      <c r="K18" s="232"/>
      <c r="L18" s="232"/>
      <c r="M18" s="232">
        <f>N18+O18+P18+Q18</f>
        <v>0</v>
      </c>
      <c r="N18" s="232"/>
      <c r="O18" s="232"/>
      <c r="P18" s="232">
        <v>0</v>
      </c>
      <c r="Q18" s="232"/>
      <c r="R18" s="6" t="s">
        <v>15</v>
      </c>
      <c r="S18" s="232"/>
      <c r="T18" s="232"/>
      <c r="U18" s="232"/>
      <c r="V18" s="232"/>
      <c r="W18" s="232"/>
      <c r="X18" s="232"/>
      <c r="Y18" s="232"/>
      <c r="Z18" s="67"/>
      <c r="AA18" s="68" t="s">
        <v>15</v>
      </c>
      <c r="AB18" s="232"/>
      <c r="AC18" s="232"/>
      <c r="AD18" s="232"/>
      <c r="AE18" s="232"/>
      <c r="AF18" s="232"/>
      <c r="AG18" s="232"/>
      <c r="AH18" s="232"/>
      <c r="AJ18" s="6" t="s">
        <v>15</v>
      </c>
      <c r="AK18" s="232"/>
      <c r="AL18" s="232"/>
      <c r="AM18" s="232">
        <f>AN18+AO18+AP18+AQ18</f>
        <v>0</v>
      </c>
      <c r="AN18" s="232"/>
      <c r="AO18" s="232"/>
      <c r="AP18" s="232"/>
      <c r="AQ18" s="232"/>
    </row>
    <row r="19" spans="1:43">
      <c r="A19" s="6" t="s">
        <v>43</v>
      </c>
      <c r="B19" s="232"/>
      <c r="C19" s="232"/>
      <c r="D19" s="232">
        <f>E19+F19+G19+H19</f>
        <v>0</v>
      </c>
      <c r="E19" s="232"/>
      <c r="F19" s="232"/>
      <c r="G19" s="232"/>
      <c r="H19" s="232"/>
      <c r="J19" s="6" t="s">
        <v>43</v>
      </c>
      <c r="K19" s="232"/>
      <c r="L19" s="232"/>
      <c r="M19" s="232">
        <f>N19+O19+P19+Q19</f>
        <v>0</v>
      </c>
      <c r="N19" s="232"/>
      <c r="O19" s="232"/>
      <c r="P19" s="232"/>
      <c r="Q19" s="232"/>
      <c r="R19" s="6" t="s">
        <v>43</v>
      </c>
      <c r="S19" s="232"/>
      <c r="T19" s="232"/>
      <c r="U19" s="232"/>
      <c r="V19" s="232"/>
      <c r="W19" s="232"/>
      <c r="X19" s="232"/>
      <c r="Y19" s="232"/>
      <c r="Z19" s="67"/>
      <c r="AA19" s="68" t="s">
        <v>43</v>
      </c>
      <c r="AB19" s="232"/>
      <c r="AC19" s="232"/>
      <c r="AD19" s="232"/>
      <c r="AE19" s="232"/>
      <c r="AF19" s="232"/>
      <c r="AG19" s="232"/>
      <c r="AH19" s="232"/>
      <c r="AJ19" s="6" t="s">
        <v>43</v>
      </c>
      <c r="AK19" s="232"/>
      <c r="AL19" s="232"/>
      <c r="AM19" s="232"/>
      <c r="AN19" s="232"/>
      <c r="AO19" s="232"/>
      <c r="AP19" s="232"/>
      <c r="AQ19" s="232"/>
    </row>
    <row r="20" spans="1:43" s="219" customFormat="1">
      <c r="A20" s="118" t="s">
        <v>40</v>
      </c>
      <c r="B20" s="119">
        <f>+K20+S20+AK20</f>
        <v>695.5</v>
      </c>
      <c r="C20" s="119">
        <f>+L20+T20+AL20</f>
        <v>30239</v>
      </c>
      <c r="D20" s="119">
        <f>D23+D26+D29+D32+D35+D38</f>
        <v>26475</v>
      </c>
      <c r="E20" s="119">
        <f t="shared" ref="E20:H21" si="18">+N20+V20+AN20</f>
        <v>1128</v>
      </c>
      <c r="F20" s="119">
        <f t="shared" si="18"/>
        <v>6066</v>
      </c>
      <c r="G20" s="119">
        <f t="shared" si="18"/>
        <v>912</v>
      </c>
      <c r="H20" s="119">
        <f t="shared" si="18"/>
        <v>18369</v>
      </c>
      <c r="J20" s="118" t="s">
        <v>40</v>
      </c>
      <c r="K20" s="119">
        <f t="shared" ref="K20:Q20" si="19">K23+K26+K29+K32+K35+K38</f>
        <v>246</v>
      </c>
      <c r="L20" s="119">
        <f t="shared" si="19"/>
        <v>5646</v>
      </c>
      <c r="M20" s="119">
        <f t="shared" si="19"/>
        <v>4765</v>
      </c>
      <c r="N20" s="119">
        <f t="shared" si="19"/>
        <v>185</v>
      </c>
      <c r="O20" s="119">
        <f t="shared" si="19"/>
        <v>1448</v>
      </c>
      <c r="P20" s="119">
        <f t="shared" si="19"/>
        <v>254</v>
      </c>
      <c r="Q20" s="119">
        <f t="shared" si="19"/>
        <v>2878</v>
      </c>
      <c r="R20" s="118" t="s">
        <v>40</v>
      </c>
      <c r="S20" s="119">
        <f t="shared" ref="S20:Y21" si="20">S23+S26+S29+S32+S35+S38</f>
        <v>430</v>
      </c>
      <c r="T20" s="119">
        <f t="shared" si="20"/>
        <v>23566</v>
      </c>
      <c r="U20" s="119">
        <f t="shared" si="20"/>
        <v>20843</v>
      </c>
      <c r="V20" s="119">
        <f t="shared" si="20"/>
        <v>930</v>
      </c>
      <c r="W20" s="119">
        <f t="shared" si="20"/>
        <v>4493</v>
      </c>
      <c r="X20" s="119">
        <f t="shared" si="20"/>
        <v>623</v>
      </c>
      <c r="Y20" s="119">
        <f t="shared" si="20"/>
        <v>14797</v>
      </c>
      <c r="Z20" s="254"/>
      <c r="AA20" s="120" t="s">
        <v>40</v>
      </c>
      <c r="AB20" s="119">
        <f t="shared" ref="AB20:AH21" si="21">AB23+AB26+AB29+AB32+AB35+AB38</f>
        <v>12.6</v>
      </c>
      <c r="AC20" s="119">
        <f t="shared" si="21"/>
        <v>781</v>
      </c>
      <c r="AD20" s="119">
        <f t="shared" si="21"/>
        <v>667</v>
      </c>
      <c r="AE20" s="119">
        <f t="shared" si="21"/>
        <v>175</v>
      </c>
      <c r="AF20" s="119">
        <f t="shared" si="21"/>
        <v>129</v>
      </c>
      <c r="AG20" s="119">
        <f t="shared" si="21"/>
        <v>20</v>
      </c>
      <c r="AH20" s="119">
        <f t="shared" si="21"/>
        <v>343</v>
      </c>
      <c r="AJ20" s="118" t="s">
        <v>40</v>
      </c>
      <c r="AK20" s="119">
        <f t="shared" ref="AK20:AQ21" si="22">AK23+AK26+AK29+AK32+AK35+AK38</f>
        <v>19.5</v>
      </c>
      <c r="AL20" s="119">
        <f t="shared" si="22"/>
        <v>1027</v>
      </c>
      <c r="AM20" s="119">
        <f t="shared" si="22"/>
        <v>867</v>
      </c>
      <c r="AN20" s="119">
        <f t="shared" si="22"/>
        <v>13</v>
      </c>
      <c r="AO20" s="119">
        <f t="shared" si="22"/>
        <v>125</v>
      </c>
      <c r="AP20" s="119">
        <f t="shared" si="22"/>
        <v>35</v>
      </c>
      <c r="AQ20" s="119">
        <f t="shared" si="22"/>
        <v>694</v>
      </c>
    </row>
    <row r="21" spans="1:43">
      <c r="A21" s="18" t="s">
        <v>41</v>
      </c>
      <c r="B21" s="187">
        <f>+K21+S21+AK21</f>
        <v>729.1</v>
      </c>
      <c r="C21" s="188">
        <f>+L21+T21+AL21</f>
        <v>31475</v>
      </c>
      <c r="D21" s="64">
        <f>E21+F21+G21+H21</f>
        <v>28751</v>
      </c>
      <c r="E21" s="64">
        <f t="shared" si="18"/>
        <v>2984</v>
      </c>
      <c r="F21" s="64">
        <f t="shared" si="18"/>
        <v>4017</v>
      </c>
      <c r="G21" s="64">
        <f t="shared" si="18"/>
        <v>774</v>
      </c>
      <c r="H21" s="64">
        <f t="shared" si="18"/>
        <v>20976</v>
      </c>
      <c r="J21" s="18" t="s">
        <v>41</v>
      </c>
      <c r="K21" s="187">
        <f>K27+K30+K33+K36+K39</f>
        <v>331.5</v>
      </c>
      <c r="L21" s="188">
        <f t="shared" ref="L21:Q21" si="23">L27+L30+L33+L36+L39</f>
        <v>11309</v>
      </c>
      <c r="M21" s="188">
        <f t="shared" si="23"/>
        <v>10188</v>
      </c>
      <c r="N21" s="188">
        <f t="shared" si="23"/>
        <v>849</v>
      </c>
      <c r="O21" s="188">
        <f t="shared" si="23"/>
        <v>1386</v>
      </c>
      <c r="P21" s="188">
        <f t="shared" si="23"/>
        <v>143</v>
      </c>
      <c r="Q21" s="188">
        <f t="shared" si="23"/>
        <v>7810</v>
      </c>
      <c r="R21" s="18" t="s">
        <v>41</v>
      </c>
      <c r="S21" s="251">
        <f>S24+S27+S30+S33+S36+S39</f>
        <v>397.6</v>
      </c>
      <c r="T21" s="64">
        <f>T24+T27+T30+T33+T36+T39</f>
        <v>20166</v>
      </c>
      <c r="U21" s="64">
        <f>U24+U27+U30+U33+U36+U39</f>
        <v>18563</v>
      </c>
      <c r="V21" s="64">
        <f t="shared" si="20"/>
        <v>2135</v>
      </c>
      <c r="W21" s="64">
        <f t="shared" si="20"/>
        <v>2631</v>
      </c>
      <c r="X21" s="64">
        <f t="shared" si="20"/>
        <v>631</v>
      </c>
      <c r="Y21" s="64">
        <f t="shared" si="20"/>
        <v>13166</v>
      </c>
      <c r="Z21" s="67"/>
      <c r="AA21" s="71" t="s">
        <v>41</v>
      </c>
      <c r="AB21" s="187">
        <f>AB24+AB27+AB30+AB33+AB36+AB39</f>
        <v>8.9</v>
      </c>
      <c r="AC21" s="188">
        <f t="shared" si="21"/>
        <v>880</v>
      </c>
      <c r="AD21" s="188">
        <f t="shared" si="21"/>
        <v>835</v>
      </c>
      <c r="AE21" s="188">
        <f t="shared" si="21"/>
        <v>84</v>
      </c>
      <c r="AF21" s="188">
        <f t="shared" si="21"/>
        <v>144</v>
      </c>
      <c r="AG21" s="188">
        <f t="shared" si="21"/>
        <v>43</v>
      </c>
      <c r="AH21" s="188">
        <f t="shared" si="21"/>
        <v>564</v>
      </c>
      <c r="AJ21" s="18" t="s">
        <v>41</v>
      </c>
      <c r="AK21" s="187">
        <f>AK24+AK27+AK30+AK33+AK36+AK39</f>
        <v>0</v>
      </c>
      <c r="AL21" s="188">
        <f t="shared" si="22"/>
        <v>0</v>
      </c>
      <c r="AM21" s="188">
        <f t="shared" si="22"/>
        <v>0</v>
      </c>
      <c r="AN21" s="188">
        <f t="shared" si="22"/>
        <v>0</v>
      </c>
      <c r="AO21" s="188">
        <f t="shared" si="22"/>
        <v>0</v>
      </c>
      <c r="AP21" s="188">
        <f t="shared" si="22"/>
        <v>0</v>
      </c>
      <c r="AQ21" s="188">
        <f t="shared" si="22"/>
        <v>0</v>
      </c>
    </row>
    <row r="22" spans="1:43">
      <c r="A22" s="6" t="s">
        <v>20</v>
      </c>
      <c r="B22" s="51">
        <f t="shared" ref="B22:H22" si="24">B21/B20*100</f>
        <v>104.83105679367361</v>
      </c>
      <c r="C22" s="51">
        <f t="shared" si="24"/>
        <v>104.08743675386091</v>
      </c>
      <c r="D22" s="51">
        <f t="shared" si="24"/>
        <v>108.5967894239849</v>
      </c>
      <c r="E22" s="51">
        <f t="shared" si="24"/>
        <v>264.53900709219857</v>
      </c>
      <c r="F22" s="51">
        <f t="shared" si="24"/>
        <v>66.221562809099893</v>
      </c>
      <c r="G22" s="51">
        <f t="shared" si="24"/>
        <v>84.868421052631575</v>
      </c>
      <c r="H22" s="51">
        <f t="shared" si="24"/>
        <v>114.19238935162501</v>
      </c>
      <c r="I22" s="21"/>
      <c r="J22" s="6" t="s">
        <v>20</v>
      </c>
      <c r="K22" s="51"/>
      <c r="L22" s="51"/>
      <c r="M22" s="51">
        <f>M21/M20*100</f>
        <v>213.80902413431269</v>
      </c>
      <c r="N22" s="51"/>
      <c r="O22" s="51"/>
      <c r="P22" s="51"/>
      <c r="Q22" s="51"/>
      <c r="R22" s="6" t="s">
        <v>20</v>
      </c>
      <c r="S22" s="51">
        <f t="shared" ref="S22:Y22" si="25">S21/S20*100</f>
        <v>92.465116279069775</v>
      </c>
      <c r="T22" s="51">
        <f t="shared" si="25"/>
        <v>85.57243486378681</v>
      </c>
      <c r="U22" s="51">
        <f t="shared" si="25"/>
        <v>89.061075660893337</v>
      </c>
      <c r="V22" s="51">
        <f t="shared" si="25"/>
        <v>229.5698924731183</v>
      </c>
      <c r="W22" s="51">
        <f t="shared" si="25"/>
        <v>58.557756510126865</v>
      </c>
      <c r="X22" s="51">
        <f t="shared" si="25"/>
        <v>101.28410914927768</v>
      </c>
      <c r="Y22" s="51">
        <f t="shared" si="25"/>
        <v>88.977495438264512</v>
      </c>
      <c r="Z22" s="72"/>
      <c r="AA22" s="68" t="s">
        <v>20</v>
      </c>
      <c r="AB22" s="51">
        <f t="shared" ref="AB22:AH22" si="26">AB21/AB20*100</f>
        <v>70.634920634920633</v>
      </c>
      <c r="AC22" s="51">
        <f t="shared" si="26"/>
        <v>112.67605633802818</v>
      </c>
      <c r="AD22" s="51">
        <f t="shared" si="26"/>
        <v>125.18740629685156</v>
      </c>
      <c r="AE22" s="51">
        <f t="shared" si="26"/>
        <v>48</v>
      </c>
      <c r="AF22" s="51">
        <f t="shared" si="26"/>
        <v>111.62790697674419</v>
      </c>
      <c r="AG22" s="51">
        <f t="shared" si="26"/>
        <v>215</v>
      </c>
      <c r="AH22" s="51">
        <f t="shared" si="26"/>
        <v>164.43148688046648</v>
      </c>
      <c r="AI22" s="21"/>
      <c r="AJ22" s="6" t="s">
        <v>20</v>
      </c>
      <c r="AK22" s="51">
        <f t="shared" ref="AK22:AQ22" si="27">AK21/AK20*100</f>
        <v>0</v>
      </c>
      <c r="AL22" s="51">
        <f t="shared" si="27"/>
        <v>0</v>
      </c>
      <c r="AM22" s="51">
        <f t="shared" si="27"/>
        <v>0</v>
      </c>
      <c r="AN22" s="51">
        <f t="shared" si="27"/>
        <v>0</v>
      </c>
      <c r="AO22" s="51">
        <f t="shared" si="27"/>
        <v>0</v>
      </c>
      <c r="AP22" s="51">
        <f t="shared" si="27"/>
        <v>0</v>
      </c>
      <c r="AQ22" s="51">
        <f t="shared" si="27"/>
        <v>0</v>
      </c>
    </row>
    <row r="23" spans="1:43" s="219" customFormat="1">
      <c r="A23" s="118" t="s">
        <v>21</v>
      </c>
      <c r="B23" s="119">
        <f>+K23+S23+AK23</f>
        <v>0.5</v>
      </c>
      <c r="C23" s="119">
        <f>+L23+T23+AL23</f>
        <v>62</v>
      </c>
      <c r="D23" s="119">
        <f>E23+F23+G23+H23</f>
        <v>52</v>
      </c>
      <c r="E23" s="119">
        <f t="shared" ref="E23:H24" si="28">+N23+V23+AN23</f>
        <v>6</v>
      </c>
      <c r="F23" s="119">
        <f t="shared" si="28"/>
        <v>13</v>
      </c>
      <c r="G23" s="119">
        <f t="shared" si="28"/>
        <v>1</v>
      </c>
      <c r="H23" s="119">
        <f t="shared" si="28"/>
        <v>32</v>
      </c>
      <c r="J23" s="118" t="s">
        <v>21</v>
      </c>
      <c r="K23" s="119"/>
      <c r="L23" s="119"/>
      <c r="M23" s="119">
        <f>N23+O23+P23+Q23</f>
        <v>0</v>
      </c>
      <c r="N23" s="119"/>
      <c r="O23" s="119"/>
      <c r="P23" s="119"/>
      <c r="Q23" s="119"/>
      <c r="R23" s="118" t="s">
        <v>21</v>
      </c>
      <c r="S23" s="119">
        <v>0.5</v>
      </c>
      <c r="T23" s="119">
        <v>62</v>
      </c>
      <c r="U23" s="119">
        <f>V23+W23+X23+Y23</f>
        <v>52</v>
      </c>
      <c r="V23" s="119">
        <v>6</v>
      </c>
      <c r="W23" s="119">
        <v>13</v>
      </c>
      <c r="X23" s="119">
        <v>1</v>
      </c>
      <c r="Y23" s="119">
        <v>32</v>
      </c>
      <c r="Z23" s="254"/>
      <c r="AA23" s="120" t="s">
        <v>21</v>
      </c>
      <c r="AB23" s="119"/>
      <c r="AC23" s="119"/>
      <c r="AD23" s="119"/>
      <c r="AE23" s="119"/>
      <c r="AF23" s="119"/>
      <c r="AG23" s="119"/>
      <c r="AH23" s="119"/>
      <c r="AJ23" s="118" t="s">
        <v>21</v>
      </c>
      <c r="AK23" s="119"/>
      <c r="AL23" s="119"/>
      <c r="AM23" s="119"/>
      <c r="AN23" s="119"/>
      <c r="AO23" s="119"/>
      <c r="AP23" s="119"/>
      <c r="AQ23" s="119"/>
    </row>
    <row r="24" spans="1:43">
      <c r="A24" s="6" t="s">
        <v>22</v>
      </c>
      <c r="B24" s="232">
        <f>+K24+S24+AK24</f>
        <v>0</v>
      </c>
      <c r="C24" s="232">
        <f>+L24+T24+AL24</f>
        <v>0</v>
      </c>
      <c r="D24" s="232">
        <f>E24+F24+G24+H24</f>
        <v>0</v>
      </c>
      <c r="E24" s="232">
        <f t="shared" si="28"/>
        <v>0</v>
      </c>
      <c r="F24" s="232">
        <f t="shared" si="28"/>
        <v>0</v>
      </c>
      <c r="G24" s="232">
        <f t="shared" si="28"/>
        <v>0</v>
      </c>
      <c r="H24" s="232">
        <f t="shared" si="28"/>
        <v>0</v>
      </c>
      <c r="J24" s="6" t="s">
        <v>22</v>
      </c>
      <c r="K24" s="232"/>
      <c r="L24" s="232"/>
      <c r="M24" s="232">
        <f>N24+O24+P24+Q24</f>
        <v>0</v>
      </c>
      <c r="N24" s="232"/>
      <c r="O24" s="232"/>
      <c r="P24" s="232"/>
      <c r="Q24" s="232"/>
      <c r="R24" s="6" t="s">
        <v>22</v>
      </c>
      <c r="S24" s="232"/>
      <c r="T24" s="232"/>
      <c r="U24" s="232">
        <f>V24+W24+X24+Y24</f>
        <v>0</v>
      </c>
      <c r="V24" s="232"/>
      <c r="W24" s="232"/>
      <c r="X24" s="232"/>
      <c r="Y24" s="232"/>
      <c r="Z24" s="67"/>
      <c r="AA24" s="68" t="s">
        <v>22</v>
      </c>
      <c r="AB24" s="232"/>
      <c r="AC24" s="232">
        <v>0</v>
      </c>
      <c r="AD24" s="232">
        <f>AE24+AF24+AG24+AH24</f>
        <v>0</v>
      </c>
      <c r="AE24" s="232">
        <v>0</v>
      </c>
      <c r="AF24" s="232">
        <v>0</v>
      </c>
      <c r="AG24" s="232"/>
      <c r="AH24" s="232">
        <v>0</v>
      </c>
      <c r="AJ24" s="6" t="s">
        <v>22</v>
      </c>
      <c r="AK24" s="232"/>
      <c r="AL24" s="232"/>
      <c r="AM24" s="232"/>
      <c r="AN24" s="232"/>
      <c r="AO24" s="232"/>
      <c r="AP24" s="232"/>
      <c r="AQ24" s="232"/>
    </row>
    <row r="25" spans="1:43">
      <c r="A25" s="6" t="s">
        <v>12</v>
      </c>
      <c r="B25" s="51">
        <f t="shared" ref="B25:G25" si="29">+B24/B23*100</f>
        <v>0</v>
      </c>
      <c r="C25" s="51">
        <f t="shared" si="29"/>
        <v>0</v>
      </c>
      <c r="D25" s="51">
        <f t="shared" si="29"/>
        <v>0</v>
      </c>
      <c r="E25" s="51">
        <f t="shared" si="29"/>
        <v>0</v>
      </c>
      <c r="F25" s="51">
        <f t="shared" si="29"/>
        <v>0</v>
      </c>
      <c r="G25" s="51">
        <f t="shared" si="29"/>
        <v>0</v>
      </c>
      <c r="H25" s="51">
        <f>+H24/H23*100</f>
        <v>0</v>
      </c>
      <c r="J25" s="6" t="s">
        <v>12</v>
      </c>
      <c r="K25" s="232"/>
      <c r="L25" s="232"/>
      <c r="M25" s="232">
        <f>N25+O25+P25+Q25</f>
        <v>0</v>
      </c>
      <c r="N25" s="232"/>
      <c r="O25" s="232"/>
      <c r="P25" s="232"/>
      <c r="Q25" s="232"/>
      <c r="R25" s="6" t="s">
        <v>12</v>
      </c>
      <c r="S25" s="122">
        <f t="shared" ref="S25:Y25" si="30">S24/S23*100</f>
        <v>0</v>
      </c>
      <c r="T25" s="122">
        <f t="shared" si="30"/>
        <v>0</v>
      </c>
      <c r="U25" s="122">
        <f t="shared" si="30"/>
        <v>0</v>
      </c>
      <c r="V25" s="122">
        <f t="shared" si="30"/>
        <v>0</v>
      </c>
      <c r="W25" s="122">
        <f t="shared" si="30"/>
        <v>0</v>
      </c>
      <c r="X25" s="122">
        <f t="shared" si="30"/>
        <v>0</v>
      </c>
      <c r="Y25" s="122">
        <f t="shared" si="30"/>
        <v>0</v>
      </c>
      <c r="Z25" s="67"/>
      <c r="AA25" s="68" t="s">
        <v>12</v>
      </c>
      <c r="AB25" s="232"/>
      <c r="AC25" s="232"/>
      <c r="AD25" s="232">
        <f>AE25+AF25+AG25+AH25</f>
        <v>0</v>
      </c>
      <c r="AE25" s="232"/>
      <c r="AF25" s="232"/>
      <c r="AG25" s="232"/>
      <c r="AH25" s="232"/>
      <c r="AJ25" s="6" t="s">
        <v>12</v>
      </c>
      <c r="AK25" s="232"/>
      <c r="AL25" s="232"/>
      <c r="AM25" s="232"/>
      <c r="AN25" s="232"/>
      <c r="AO25" s="232"/>
      <c r="AP25" s="232"/>
      <c r="AQ25" s="232"/>
    </row>
    <row r="26" spans="1:43" s="219" customFormat="1">
      <c r="A26" s="118" t="s">
        <v>23</v>
      </c>
      <c r="B26" s="119">
        <f>+K26+S26+AK26</f>
        <v>142.5</v>
      </c>
      <c r="C26" s="119">
        <f>+L26+T26+AL26</f>
        <v>4899</v>
      </c>
      <c r="D26" s="119">
        <f>E26+F26+G26+H26</f>
        <v>4362</v>
      </c>
      <c r="E26" s="119">
        <f t="shared" ref="E26:H27" si="31">+N26+V26+AN26</f>
        <v>58</v>
      </c>
      <c r="F26" s="119">
        <f t="shared" si="31"/>
        <v>862</v>
      </c>
      <c r="G26" s="119">
        <f t="shared" si="31"/>
        <v>196</v>
      </c>
      <c r="H26" s="119">
        <f t="shared" si="31"/>
        <v>3246</v>
      </c>
      <c r="J26" s="118" t="s">
        <v>23</v>
      </c>
      <c r="K26" s="119">
        <v>50.2</v>
      </c>
      <c r="L26" s="119">
        <v>895</v>
      </c>
      <c r="M26" s="119">
        <f>N26+O26+P26+Q26</f>
        <v>788</v>
      </c>
      <c r="N26" s="119">
        <v>18</v>
      </c>
      <c r="O26" s="119">
        <v>134</v>
      </c>
      <c r="P26" s="119">
        <v>36</v>
      </c>
      <c r="Q26" s="119">
        <v>600</v>
      </c>
      <c r="R26" s="118" t="s">
        <v>23</v>
      </c>
      <c r="S26" s="119">
        <v>87.5</v>
      </c>
      <c r="T26" s="119">
        <v>3801</v>
      </c>
      <c r="U26" s="119">
        <f>V26+W26+X26+Y26</f>
        <v>3398</v>
      </c>
      <c r="V26" s="119">
        <v>40</v>
      </c>
      <c r="W26" s="119">
        <v>703</v>
      </c>
      <c r="X26" s="119">
        <v>153</v>
      </c>
      <c r="Y26" s="119">
        <v>2502</v>
      </c>
      <c r="Z26" s="254"/>
      <c r="AA26" s="120" t="s">
        <v>23</v>
      </c>
      <c r="AB26" s="119">
        <v>1.8</v>
      </c>
      <c r="AC26" s="119">
        <v>95</v>
      </c>
      <c r="AD26" s="119">
        <f>AE26+AF26+AG26+AH26</f>
        <v>81</v>
      </c>
      <c r="AE26" s="119">
        <v>24</v>
      </c>
      <c r="AF26" s="119">
        <v>5</v>
      </c>
      <c r="AG26" s="119">
        <v>1</v>
      </c>
      <c r="AH26" s="119">
        <v>51</v>
      </c>
      <c r="AJ26" s="118" t="s">
        <v>23</v>
      </c>
      <c r="AK26" s="119">
        <v>4.8</v>
      </c>
      <c r="AL26" s="119">
        <v>203</v>
      </c>
      <c r="AM26" s="119">
        <f>AN26+AO26+AP26+AQ26</f>
        <v>176</v>
      </c>
      <c r="AN26" s="119">
        <v>0</v>
      </c>
      <c r="AO26" s="119">
        <v>25</v>
      </c>
      <c r="AP26" s="119">
        <v>7</v>
      </c>
      <c r="AQ26" s="119">
        <v>144</v>
      </c>
    </row>
    <row r="27" spans="1:43">
      <c r="A27" s="6" t="s">
        <v>24</v>
      </c>
      <c r="B27" s="122">
        <f>+K27+S27+AK27</f>
        <v>118.34</v>
      </c>
      <c r="C27" s="232">
        <f>+L27+T27+AL27</f>
        <v>3645</v>
      </c>
      <c r="D27" s="232">
        <f>E27+F27+G27+H27</f>
        <v>3314</v>
      </c>
      <c r="E27" s="232">
        <f t="shared" si="31"/>
        <v>292</v>
      </c>
      <c r="F27" s="232">
        <f t="shared" si="31"/>
        <v>492</v>
      </c>
      <c r="G27" s="232">
        <f t="shared" si="31"/>
        <v>112</v>
      </c>
      <c r="H27" s="232">
        <f t="shared" si="31"/>
        <v>2418</v>
      </c>
      <c r="J27" s="6" t="s">
        <v>24</v>
      </c>
      <c r="K27" s="123">
        <f>44.14+1.27+7.94+2.05</f>
        <v>55.4</v>
      </c>
      <c r="L27" s="232">
        <f>1007+230+70</f>
        <v>1307</v>
      </c>
      <c r="M27" s="232">
        <f>N27+O27+P27+Q27</f>
        <v>1176</v>
      </c>
      <c r="N27" s="232">
        <f>43+14+5</f>
        <v>62</v>
      </c>
      <c r="O27" s="232">
        <f>87+19+10</f>
        <v>116</v>
      </c>
      <c r="P27" s="232">
        <f>15+2+1</f>
        <v>18</v>
      </c>
      <c r="Q27" s="232">
        <f>762+170+48</f>
        <v>980</v>
      </c>
      <c r="R27" s="6" t="s">
        <v>24</v>
      </c>
      <c r="S27" s="232">
        <f>58.52+1.54+2.88</f>
        <v>62.940000000000005</v>
      </c>
      <c r="T27" s="232">
        <f>2203+35+100</f>
        <v>2338</v>
      </c>
      <c r="U27" s="232">
        <f>V27+W27+X27+Y27</f>
        <v>2138</v>
      </c>
      <c r="V27" s="232">
        <f>221+3+6</f>
        <v>230</v>
      </c>
      <c r="W27" s="232">
        <f>368+1+7</f>
        <v>376</v>
      </c>
      <c r="X27" s="232">
        <f>93+1</f>
        <v>94</v>
      </c>
      <c r="Y27" s="232">
        <f>1333+28+77</f>
        <v>1438</v>
      </c>
      <c r="Z27" s="67"/>
      <c r="AA27" s="68" t="s">
        <v>24</v>
      </c>
      <c r="AB27" s="122">
        <v>1.78</v>
      </c>
      <c r="AC27" s="232">
        <v>140</v>
      </c>
      <c r="AD27" s="232">
        <f>AE27+AF27+AG27+AH27</f>
        <v>129</v>
      </c>
      <c r="AE27" s="232">
        <v>9</v>
      </c>
      <c r="AF27" s="232">
        <v>12</v>
      </c>
      <c r="AG27" s="232">
        <v>8</v>
      </c>
      <c r="AH27" s="232">
        <v>100</v>
      </c>
      <c r="AJ27" s="6" t="s">
        <v>24</v>
      </c>
      <c r="AK27" s="122"/>
      <c r="AL27" s="232"/>
      <c r="AM27" s="232">
        <f>AN27+AO27+AP27+AQ27</f>
        <v>0</v>
      </c>
      <c r="AN27" s="232">
        <v>0</v>
      </c>
      <c r="AO27" s="232">
        <v>0</v>
      </c>
      <c r="AP27" s="232">
        <v>0</v>
      </c>
      <c r="AQ27" s="232"/>
    </row>
    <row r="28" spans="1:43">
      <c r="A28" s="6" t="s">
        <v>12</v>
      </c>
      <c r="B28" s="51">
        <f t="shared" ref="B28:H28" si="32">B27/B26*100</f>
        <v>83.045614035087723</v>
      </c>
      <c r="C28" s="51">
        <f t="shared" si="32"/>
        <v>74.402939375382729</v>
      </c>
      <c r="D28" s="51">
        <f t="shared" si="32"/>
        <v>75.974323704722607</v>
      </c>
      <c r="E28" s="51">
        <f t="shared" si="32"/>
        <v>503.44827586206895</v>
      </c>
      <c r="F28" s="51">
        <f t="shared" si="32"/>
        <v>57.076566125290014</v>
      </c>
      <c r="G28" s="51">
        <f t="shared" si="32"/>
        <v>57.142857142857139</v>
      </c>
      <c r="H28" s="51">
        <f t="shared" si="32"/>
        <v>74.491682070240302</v>
      </c>
      <c r="I28" s="21"/>
      <c r="J28" s="6" t="s">
        <v>12</v>
      </c>
      <c r="K28" s="51">
        <f t="shared" ref="K28:Q28" si="33">K27/K26*100</f>
        <v>110.35856573705178</v>
      </c>
      <c r="L28" s="51">
        <f t="shared" si="33"/>
        <v>146.03351955307261</v>
      </c>
      <c r="M28" s="51">
        <f t="shared" si="33"/>
        <v>149.23857868020306</v>
      </c>
      <c r="N28" s="51">
        <f t="shared" si="33"/>
        <v>344.44444444444446</v>
      </c>
      <c r="O28" s="51">
        <f>O27/O26*100</f>
        <v>86.567164179104466</v>
      </c>
      <c r="P28" s="51">
        <f t="shared" si="33"/>
        <v>50</v>
      </c>
      <c r="Q28" s="51">
        <f t="shared" si="33"/>
        <v>163.33333333333334</v>
      </c>
      <c r="R28" s="6" t="s">
        <v>12</v>
      </c>
      <c r="S28" s="51">
        <f t="shared" ref="S28:Y28" si="34">S27/S26*100</f>
        <v>71.931428571428583</v>
      </c>
      <c r="T28" s="51">
        <f t="shared" si="34"/>
        <v>61.510128913443829</v>
      </c>
      <c r="U28" s="51">
        <f t="shared" si="34"/>
        <v>62.919364331959983</v>
      </c>
      <c r="V28" s="51">
        <f t="shared" si="34"/>
        <v>575</v>
      </c>
      <c r="W28" s="51">
        <f t="shared" si="34"/>
        <v>53.485064011379805</v>
      </c>
      <c r="X28" s="51">
        <f t="shared" si="34"/>
        <v>61.437908496732028</v>
      </c>
      <c r="Y28" s="51">
        <f t="shared" si="34"/>
        <v>57.474020783373305</v>
      </c>
      <c r="Z28" s="72"/>
      <c r="AA28" s="68" t="s">
        <v>12</v>
      </c>
      <c r="AB28" s="51">
        <f t="shared" ref="AB28:AH28" si="35">AB27/AB26*100</f>
        <v>98.888888888888886</v>
      </c>
      <c r="AC28" s="51">
        <f t="shared" si="35"/>
        <v>147.36842105263156</v>
      </c>
      <c r="AD28" s="51">
        <f t="shared" si="35"/>
        <v>159.25925925925927</v>
      </c>
      <c r="AE28" s="51">
        <f t="shared" si="35"/>
        <v>37.5</v>
      </c>
      <c r="AF28" s="51">
        <f t="shared" si="35"/>
        <v>240</v>
      </c>
      <c r="AG28" s="51">
        <f t="shared" si="35"/>
        <v>800</v>
      </c>
      <c r="AH28" s="51">
        <f t="shared" si="35"/>
        <v>196.07843137254901</v>
      </c>
      <c r="AJ28" s="6" t="s">
        <v>12</v>
      </c>
      <c r="AK28" s="51">
        <f t="shared" ref="AK28:AQ28" si="36">AK27/AK26*100</f>
        <v>0</v>
      </c>
      <c r="AL28" s="51">
        <f t="shared" si="36"/>
        <v>0</v>
      </c>
      <c r="AM28" s="51">
        <f t="shared" si="36"/>
        <v>0</v>
      </c>
      <c r="AN28" s="232" t="e">
        <f t="shared" si="36"/>
        <v>#DIV/0!</v>
      </c>
      <c r="AO28" s="232">
        <f t="shared" si="36"/>
        <v>0</v>
      </c>
      <c r="AP28" s="232">
        <f t="shared" si="36"/>
        <v>0</v>
      </c>
      <c r="AQ28" s="51">
        <f t="shared" si="36"/>
        <v>0</v>
      </c>
    </row>
    <row r="29" spans="1:43" s="219" customFormat="1">
      <c r="A29" s="118" t="s">
        <v>25</v>
      </c>
      <c r="B29" s="119">
        <f>+K29+S29+AK29</f>
        <v>372</v>
      </c>
      <c r="C29" s="119">
        <f>+L29+T29+AL29</f>
        <v>16246</v>
      </c>
      <c r="D29" s="119">
        <f>E29+F29+G29+H29</f>
        <v>14404</v>
      </c>
      <c r="E29" s="119">
        <f t="shared" ref="E29:H30" si="37">+N29+V29+AN29</f>
        <v>472</v>
      </c>
      <c r="F29" s="119">
        <f t="shared" si="37"/>
        <v>2781</v>
      </c>
      <c r="G29" s="119">
        <f t="shared" si="37"/>
        <v>233</v>
      </c>
      <c r="H29" s="119">
        <f t="shared" si="37"/>
        <v>10918</v>
      </c>
      <c r="J29" s="118" t="s">
        <v>25</v>
      </c>
      <c r="K29" s="119">
        <v>104.3</v>
      </c>
      <c r="L29" s="119">
        <v>1714</v>
      </c>
      <c r="M29" s="119">
        <f>N29+O29+P29+Q29</f>
        <v>1479</v>
      </c>
      <c r="N29" s="119">
        <v>14</v>
      </c>
      <c r="O29" s="119">
        <v>230</v>
      </c>
      <c r="P29" s="119">
        <v>73</v>
      </c>
      <c r="Q29" s="119">
        <v>1162</v>
      </c>
      <c r="R29" s="118" t="s">
        <v>25</v>
      </c>
      <c r="S29" s="119">
        <v>259.5</v>
      </c>
      <c r="T29" s="119">
        <v>14044</v>
      </c>
      <c r="U29" s="119">
        <f>V29+W29+X29+Y29</f>
        <v>12508</v>
      </c>
      <c r="V29" s="119">
        <v>456</v>
      </c>
      <c r="W29" s="119">
        <v>2512</v>
      </c>
      <c r="X29" s="119">
        <v>146</v>
      </c>
      <c r="Y29" s="119">
        <v>9394</v>
      </c>
      <c r="Z29" s="254"/>
      <c r="AA29" s="120" t="s">
        <v>25</v>
      </c>
      <c r="AB29" s="119">
        <v>1.8</v>
      </c>
      <c r="AC29" s="119">
        <v>98</v>
      </c>
      <c r="AD29" s="119">
        <f>AE29+AF29+AG29+AH29</f>
        <v>82</v>
      </c>
      <c r="AE29" s="119">
        <v>26</v>
      </c>
      <c r="AF29" s="119">
        <v>5</v>
      </c>
      <c r="AG29" s="119">
        <v>2</v>
      </c>
      <c r="AH29" s="119">
        <v>49</v>
      </c>
      <c r="AJ29" s="118" t="s">
        <v>25</v>
      </c>
      <c r="AK29" s="119">
        <v>8.1999999999999993</v>
      </c>
      <c r="AL29" s="119">
        <v>488</v>
      </c>
      <c r="AM29" s="119">
        <f>AN29+AO29+AP29+AQ29</f>
        <v>417</v>
      </c>
      <c r="AN29" s="119">
        <v>2</v>
      </c>
      <c r="AO29" s="119">
        <v>39</v>
      </c>
      <c r="AP29" s="119">
        <v>14</v>
      </c>
      <c r="AQ29" s="119">
        <v>362</v>
      </c>
    </row>
    <row r="30" spans="1:43">
      <c r="A30" s="6" t="s">
        <v>26</v>
      </c>
      <c r="B30" s="122">
        <f>+K30+S30+AK30</f>
        <v>368.39</v>
      </c>
      <c r="C30" s="232">
        <f>+L30+T30+AL30</f>
        <v>14714</v>
      </c>
      <c r="D30" s="232">
        <f>E30+F30+G30+H30</f>
        <v>13543</v>
      </c>
      <c r="E30" s="232">
        <f t="shared" si="37"/>
        <v>1381</v>
      </c>
      <c r="F30" s="232">
        <f t="shared" si="37"/>
        <v>1885</v>
      </c>
      <c r="G30" s="232">
        <f t="shared" si="37"/>
        <v>355</v>
      </c>
      <c r="H30" s="232">
        <f t="shared" si="37"/>
        <v>9922</v>
      </c>
      <c r="J30" s="6" t="s">
        <v>26</v>
      </c>
      <c r="K30" s="123">
        <f>104.62+1.27+20.75</f>
        <v>126.64</v>
      </c>
      <c r="L30" s="232">
        <f>3163+20+790</f>
        <v>3973</v>
      </c>
      <c r="M30" s="232">
        <f>N30+O30+P30+Q30</f>
        <v>3571</v>
      </c>
      <c r="N30" s="232">
        <f>85+80</f>
        <v>165</v>
      </c>
      <c r="O30" s="232">
        <f>240+226</f>
        <v>466</v>
      </c>
      <c r="P30" s="232">
        <f>14+14</f>
        <v>28</v>
      </c>
      <c r="Q30" s="232">
        <f>2496+18+398</f>
        <v>2912</v>
      </c>
      <c r="R30" s="6" t="s">
        <v>26</v>
      </c>
      <c r="S30" s="123">
        <f>230.92+6.51+4.32</f>
        <v>241.74999999999997</v>
      </c>
      <c r="T30" s="232">
        <f>10245+296+200</f>
        <v>10741</v>
      </c>
      <c r="U30" s="232">
        <f>V30+W30+X30+Y30</f>
        <v>9972</v>
      </c>
      <c r="V30" s="232">
        <f>1090+76+50</f>
        <v>1216</v>
      </c>
      <c r="W30" s="232">
        <f>1334+85</f>
        <v>1419</v>
      </c>
      <c r="X30" s="232">
        <f>317+10</f>
        <v>327</v>
      </c>
      <c r="Y30" s="232">
        <f>6778+195+37</f>
        <v>7010</v>
      </c>
      <c r="Z30" s="67"/>
      <c r="AA30" s="68" t="s">
        <v>26</v>
      </c>
      <c r="AB30" s="122">
        <v>1.78</v>
      </c>
      <c r="AC30" s="232">
        <v>150</v>
      </c>
      <c r="AD30" s="232">
        <f>AE30+AF30+AG30+AH30</f>
        <v>135</v>
      </c>
      <c r="AE30" s="232">
        <v>5</v>
      </c>
      <c r="AF30" s="232">
        <v>12</v>
      </c>
      <c r="AG30" s="232">
        <v>5</v>
      </c>
      <c r="AH30" s="232">
        <v>113</v>
      </c>
      <c r="AJ30" s="6" t="s">
        <v>26</v>
      </c>
      <c r="AK30" s="123"/>
      <c r="AL30" s="232"/>
      <c r="AM30" s="232"/>
      <c r="AN30" s="232"/>
      <c r="AO30" s="232"/>
      <c r="AP30" s="232"/>
      <c r="AQ30" s="232"/>
    </row>
    <row r="31" spans="1:43">
      <c r="A31" s="6" t="s">
        <v>12</v>
      </c>
      <c r="B31" s="51">
        <f t="shared" ref="B31:H31" si="38">B30/B29*100</f>
        <v>99.02956989247312</v>
      </c>
      <c r="C31" s="51">
        <f t="shared" si="38"/>
        <v>90.569986458205094</v>
      </c>
      <c r="D31" s="51">
        <f t="shared" si="38"/>
        <v>94.022493751735624</v>
      </c>
      <c r="E31" s="51">
        <f t="shared" si="38"/>
        <v>292.58474576271186</v>
      </c>
      <c r="F31" s="51">
        <f t="shared" si="38"/>
        <v>67.781373606616327</v>
      </c>
      <c r="G31" s="51">
        <f t="shared" si="38"/>
        <v>152.36051502145921</v>
      </c>
      <c r="H31" s="51">
        <f t="shared" si="38"/>
        <v>90.877450082432674</v>
      </c>
      <c r="I31" s="21"/>
      <c r="J31" s="6" t="s">
        <v>12</v>
      </c>
      <c r="K31" s="51">
        <f t="shared" ref="K31:Q31" si="39">K30/K29*100</f>
        <v>121.41898370086291</v>
      </c>
      <c r="L31" s="51">
        <f t="shared" si="39"/>
        <v>231.79696616102686</v>
      </c>
      <c r="M31" s="51">
        <f t="shared" si="39"/>
        <v>241.44692359702501</v>
      </c>
      <c r="N31" s="51">
        <f t="shared" si="39"/>
        <v>1178.5714285714287</v>
      </c>
      <c r="O31" s="51">
        <f t="shared" si="39"/>
        <v>202.60869565217391</v>
      </c>
      <c r="P31" s="51">
        <f t="shared" si="39"/>
        <v>38.356164383561641</v>
      </c>
      <c r="Q31" s="51">
        <f t="shared" si="39"/>
        <v>250.60240963855424</v>
      </c>
      <c r="R31" s="6" t="s">
        <v>12</v>
      </c>
      <c r="S31" s="51">
        <f t="shared" ref="S31:Y31" si="40">S30/S29*100</f>
        <v>93.159922928709051</v>
      </c>
      <c r="T31" s="51">
        <f t="shared" si="40"/>
        <v>76.48105952720023</v>
      </c>
      <c r="U31" s="51">
        <f t="shared" si="40"/>
        <v>79.72497601535018</v>
      </c>
      <c r="V31" s="51">
        <f t="shared" si="40"/>
        <v>266.66666666666663</v>
      </c>
      <c r="W31" s="51">
        <f t="shared" si="40"/>
        <v>56.488853503184714</v>
      </c>
      <c r="X31" s="51">
        <f t="shared" si="40"/>
        <v>223.972602739726</v>
      </c>
      <c r="Y31" s="51">
        <f t="shared" si="40"/>
        <v>74.622099212263151</v>
      </c>
      <c r="Z31" s="72"/>
      <c r="AA31" s="68" t="s">
        <v>12</v>
      </c>
      <c r="AB31" s="51">
        <f t="shared" ref="AB31:AH31" si="41">AB30/AB29*100</f>
        <v>98.888888888888886</v>
      </c>
      <c r="AC31" s="51">
        <f t="shared" si="41"/>
        <v>153.0612244897959</v>
      </c>
      <c r="AD31" s="51">
        <f t="shared" si="41"/>
        <v>164.63414634146341</v>
      </c>
      <c r="AE31" s="51">
        <f t="shared" si="41"/>
        <v>19.230769230769234</v>
      </c>
      <c r="AF31" s="51">
        <f t="shared" si="41"/>
        <v>240</v>
      </c>
      <c r="AG31" s="51">
        <f t="shared" si="41"/>
        <v>250</v>
      </c>
      <c r="AH31" s="51">
        <f t="shared" si="41"/>
        <v>230.61224489795919</v>
      </c>
      <c r="AJ31" s="6" t="s">
        <v>12</v>
      </c>
      <c r="AK31" s="51">
        <f t="shared" ref="AK31:AQ31" si="42">AK30/AK29*100</f>
        <v>0</v>
      </c>
      <c r="AL31" s="51">
        <f t="shared" si="42"/>
        <v>0</v>
      </c>
      <c r="AM31" s="51">
        <f t="shared" si="42"/>
        <v>0</v>
      </c>
      <c r="AN31" s="51">
        <f t="shared" si="42"/>
        <v>0</v>
      </c>
      <c r="AO31" s="51">
        <f t="shared" si="42"/>
        <v>0</v>
      </c>
      <c r="AP31" s="51">
        <f t="shared" si="42"/>
        <v>0</v>
      </c>
      <c r="AQ31" s="51">
        <f t="shared" si="42"/>
        <v>0</v>
      </c>
    </row>
    <row r="32" spans="1:43" s="219" customFormat="1">
      <c r="A32" s="118" t="s">
        <v>27</v>
      </c>
      <c r="B32" s="119">
        <f>+K32+S32+AK32</f>
        <v>0</v>
      </c>
      <c r="C32" s="119">
        <f>+L32+T32+AL32</f>
        <v>0</v>
      </c>
      <c r="D32" s="119">
        <f>E32+F32+G32+H32</f>
        <v>0</v>
      </c>
      <c r="E32" s="119">
        <f t="shared" ref="E32:H33" si="43">+N32+V32+AN32</f>
        <v>0</v>
      </c>
      <c r="F32" s="119">
        <f t="shared" si="43"/>
        <v>0</v>
      </c>
      <c r="G32" s="119">
        <f t="shared" si="43"/>
        <v>0</v>
      </c>
      <c r="H32" s="119">
        <f t="shared" si="43"/>
        <v>0</v>
      </c>
      <c r="J32" s="118" t="s">
        <v>27</v>
      </c>
      <c r="K32" s="119"/>
      <c r="L32" s="119"/>
      <c r="M32" s="119">
        <f>N32+O32+P32+Q32</f>
        <v>0</v>
      </c>
      <c r="N32" s="119"/>
      <c r="O32" s="119"/>
      <c r="P32" s="119"/>
      <c r="Q32" s="119"/>
      <c r="R32" s="118" t="s">
        <v>27</v>
      </c>
      <c r="S32" s="119">
        <v>0</v>
      </c>
      <c r="T32" s="119">
        <v>0</v>
      </c>
      <c r="U32" s="119">
        <f>V32+W32+X32+Y32</f>
        <v>0</v>
      </c>
      <c r="V32" s="119">
        <v>0</v>
      </c>
      <c r="W32" s="119"/>
      <c r="X32" s="119"/>
      <c r="Y32" s="119">
        <v>0</v>
      </c>
      <c r="Z32" s="254"/>
      <c r="AA32" s="120" t="s">
        <v>27</v>
      </c>
      <c r="AB32" s="119"/>
      <c r="AC32" s="119"/>
      <c r="AD32" s="119">
        <f>AE32+AF32+AG32+AH32</f>
        <v>0</v>
      </c>
      <c r="AE32" s="119"/>
      <c r="AF32" s="119"/>
      <c r="AG32" s="119"/>
      <c r="AH32" s="119"/>
      <c r="AJ32" s="118" t="s">
        <v>27</v>
      </c>
      <c r="AK32" s="119"/>
      <c r="AL32" s="119"/>
      <c r="AM32" s="119">
        <f t="shared" ref="AM32:AM39" si="44">AN32+AO32+AP32+AQ32</f>
        <v>0</v>
      </c>
      <c r="AN32" s="119"/>
      <c r="AO32" s="119"/>
      <c r="AP32" s="119"/>
      <c r="AQ32" s="119"/>
    </row>
    <row r="33" spans="1:49">
      <c r="A33" s="6" t="s">
        <v>28</v>
      </c>
      <c r="B33" s="232">
        <f>+K33+S33+AK33</f>
        <v>0</v>
      </c>
      <c r="C33" s="232">
        <f>+L33+T33+AL33</f>
        <v>0</v>
      </c>
      <c r="D33" s="232">
        <f>E33+F33+G33+H33</f>
        <v>0</v>
      </c>
      <c r="E33" s="232">
        <f t="shared" si="43"/>
        <v>0</v>
      </c>
      <c r="F33" s="232">
        <f t="shared" si="43"/>
        <v>0</v>
      </c>
      <c r="G33" s="232">
        <f t="shared" si="43"/>
        <v>0</v>
      </c>
      <c r="H33" s="232">
        <f t="shared" si="43"/>
        <v>0</v>
      </c>
      <c r="J33" s="6" t="s">
        <v>28</v>
      </c>
      <c r="K33" s="232"/>
      <c r="L33" s="232"/>
      <c r="M33" s="232">
        <f>N33+O33+P33+Q33</f>
        <v>0</v>
      </c>
      <c r="N33" s="232"/>
      <c r="O33" s="232"/>
      <c r="P33" s="232"/>
      <c r="Q33" s="232"/>
      <c r="R33" s="6" t="s">
        <v>28</v>
      </c>
      <c r="S33" s="232"/>
      <c r="T33" s="232"/>
      <c r="U33" s="232">
        <f>V33+W33+X33+Y33</f>
        <v>0</v>
      </c>
      <c r="V33" s="232"/>
      <c r="W33" s="232"/>
      <c r="X33" s="232"/>
      <c r="Y33" s="232"/>
      <c r="Z33" s="67"/>
      <c r="AA33" s="68" t="s">
        <v>28</v>
      </c>
      <c r="AB33" s="232"/>
      <c r="AC33" s="232"/>
      <c r="AD33" s="232">
        <f>AE33+AF33+AG33+AH33</f>
        <v>0</v>
      </c>
      <c r="AE33" s="232"/>
      <c r="AF33" s="232"/>
      <c r="AG33" s="232"/>
      <c r="AH33" s="232"/>
      <c r="AJ33" s="6" t="s">
        <v>28</v>
      </c>
      <c r="AK33" s="232"/>
      <c r="AL33" s="232"/>
      <c r="AM33" s="232">
        <f t="shared" si="44"/>
        <v>0</v>
      </c>
      <c r="AN33" s="232"/>
      <c r="AO33" s="232"/>
      <c r="AP33" s="232"/>
      <c r="AQ33" s="232"/>
    </row>
    <row r="34" spans="1:49">
      <c r="A34" s="6" t="s">
        <v>12</v>
      </c>
      <c r="B34" s="232" t="e">
        <f t="shared" ref="B34:H34" si="45">+B33/B32*100</f>
        <v>#DIV/0!</v>
      </c>
      <c r="C34" s="123" t="e">
        <f t="shared" si="45"/>
        <v>#DIV/0!</v>
      </c>
      <c r="D34" s="232" t="e">
        <f>E34+F34+G34+H34</f>
        <v>#DIV/0!</v>
      </c>
      <c r="E34" s="123" t="e">
        <f t="shared" si="45"/>
        <v>#DIV/0!</v>
      </c>
      <c r="F34" s="123" t="e">
        <f t="shared" si="45"/>
        <v>#DIV/0!</v>
      </c>
      <c r="G34" s="123" t="e">
        <f t="shared" si="45"/>
        <v>#DIV/0!</v>
      </c>
      <c r="H34" s="123" t="e">
        <f t="shared" si="45"/>
        <v>#DIV/0!</v>
      </c>
      <c r="J34" s="6" t="s">
        <v>12</v>
      </c>
      <c r="K34" s="232"/>
      <c r="L34" s="232"/>
      <c r="M34" s="232">
        <f>N34+O34+P34+Q34</f>
        <v>0</v>
      </c>
      <c r="N34" s="232"/>
      <c r="O34" s="232"/>
      <c r="P34" s="232"/>
      <c r="Q34" s="232"/>
      <c r="R34" s="6" t="s">
        <v>12</v>
      </c>
      <c r="S34" s="232" t="e">
        <f t="shared" ref="S34:Y34" si="46">S33/S32*100</f>
        <v>#DIV/0!</v>
      </c>
      <c r="T34" s="232" t="e">
        <f t="shared" si="46"/>
        <v>#DIV/0!</v>
      </c>
      <c r="U34" s="232" t="e">
        <f t="shared" si="46"/>
        <v>#DIV/0!</v>
      </c>
      <c r="V34" s="232" t="e">
        <f t="shared" si="46"/>
        <v>#DIV/0!</v>
      </c>
      <c r="W34" s="232" t="e">
        <f t="shared" si="46"/>
        <v>#DIV/0!</v>
      </c>
      <c r="X34" s="232" t="e">
        <f t="shared" si="46"/>
        <v>#DIV/0!</v>
      </c>
      <c r="Y34" s="232" t="e">
        <f t="shared" si="46"/>
        <v>#DIV/0!</v>
      </c>
      <c r="Z34" s="67"/>
      <c r="AA34" s="68" t="s">
        <v>12</v>
      </c>
      <c r="AB34" s="232" t="e">
        <f t="shared" ref="AB34:AH34" si="47">AB33/AB32*100</f>
        <v>#DIV/0!</v>
      </c>
      <c r="AC34" s="232" t="e">
        <f t="shared" si="47"/>
        <v>#DIV/0!</v>
      </c>
      <c r="AD34" s="232" t="e">
        <f t="shared" si="47"/>
        <v>#DIV/0!</v>
      </c>
      <c r="AE34" s="232" t="e">
        <f t="shared" si="47"/>
        <v>#DIV/0!</v>
      </c>
      <c r="AF34" s="232" t="e">
        <f t="shared" si="47"/>
        <v>#DIV/0!</v>
      </c>
      <c r="AG34" s="232" t="e">
        <f t="shared" si="47"/>
        <v>#DIV/0!</v>
      </c>
      <c r="AH34" s="232" t="e">
        <f t="shared" si="47"/>
        <v>#DIV/0!</v>
      </c>
      <c r="AJ34" s="6" t="s">
        <v>12</v>
      </c>
      <c r="AK34" s="232"/>
      <c r="AL34" s="232"/>
      <c r="AM34" s="232">
        <f t="shared" si="44"/>
        <v>0</v>
      </c>
      <c r="AN34" s="232"/>
      <c r="AO34" s="232"/>
      <c r="AP34" s="232"/>
      <c r="AQ34" s="232"/>
    </row>
    <row r="35" spans="1:49" s="219" customFormat="1">
      <c r="A35" s="118" t="s">
        <v>29</v>
      </c>
      <c r="B35" s="119">
        <f>+K35+S35+AK35</f>
        <v>36.1</v>
      </c>
      <c r="C35" s="119">
        <f>+L35+T35+AL35</f>
        <v>2816</v>
      </c>
      <c r="D35" s="119">
        <f>E35+F35+G35+H35</f>
        <v>2503</v>
      </c>
      <c r="E35" s="119">
        <f t="shared" ref="E35:H36" si="48">+N35+V35+AN35</f>
        <v>7</v>
      </c>
      <c r="F35" s="119">
        <f t="shared" si="48"/>
        <v>682</v>
      </c>
      <c r="G35" s="119">
        <f t="shared" si="48"/>
        <v>216</v>
      </c>
      <c r="H35" s="119">
        <f t="shared" si="48"/>
        <v>1598</v>
      </c>
      <c r="J35" s="118" t="s">
        <v>29</v>
      </c>
      <c r="K35" s="119">
        <v>0.9</v>
      </c>
      <c r="L35" s="119">
        <v>18</v>
      </c>
      <c r="M35" s="119">
        <v>14</v>
      </c>
      <c r="N35" s="119"/>
      <c r="O35" s="119">
        <v>1</v>
      </c>
      <c r="P35" s="119">
        <v>2</v>
      </c>
      <c r="Q35" s="119">
        <v>11</v>
      </c>
      <c r="R35" s="118" t="s">
        <v>29</v>
      </c>
      <c r="S35" s="119">
        <v>34.700000000000003</v>
      </c>
      <c r="T35" s="119">
        <v>2789</v>
      </c>
      <c r="U35" s="119">
        <f>V35+W35+X35+Y35</f>
        <v>2482</v>
      </c>
      <c r="V35" s="119">
        <v>7</v>
      </c>
      <c r="W35" s="119">
        <v>681</v>
      </c>
      <c r="X35" s="119">
        <v>214</v>
      </c>
      <c r="Y35" s="119">
        <v>1580</v>
      </c>
      <c r="Z35" s="254"/>
      <c r="AA35" s="120" t="s">
        <v>29</v>
      </c>
      <c r="AB35" s="119">
        <v>1.2</v>
      </c>
      <c r="AC35" s="119">
        <v>82</v>
      </c>
      <c r="AD35" s="119">
        <f>AE35+AF35+AG35+AH35</f>
        <v>74</v>
      </c>
      <c r="AE35" s="119">
        <v>1</v>
      </c>
      <c r="AF35" s="119">
        <v>20</v>
      </c>
      <c r="AG35" s="119">
        <v>7</v>
      </c>
      <c r="AH35" s="119">
        <v>46</v>
      </c>
      <c r="AJ35" s="118" t="s">
        <v>29</v>
      </c>
      <c r="AK35" s="119">
        <v>0.5</v>
      </c>
      <c r="AL35" s="119">
        <v>9</v>
      </c>
      <c r="AM35" s="119">
        <f t="shared" si="44"/>
        <v>7</v>
      </c>
      <c r="AN35" s="119"/>
      <c r="AO35" s="119"/>
      <c r="AP35" s="119"/>
      <c r="AQ35" s="119">
        <v>7</v>
      </c>
    </row>
    <row r="36" spans="1:49">
      <c r="A36" s="6" t="s">
        <v>30</v>
      </c>
      <c r="B36" s="122">
        <f>+K36+S36+AK36</f>
        <v>29.92</v>
      </c>
      <c r="C36" s="232">
        <f>+L36+T36+AL36</f>
        <v>2802</v>
      </c>
      <c r="D36" s="232">
        <f>E36+F36+G36+H36</f>
        <v>2520</v>
      </c>
      <c r="E36" s="232">
        <f t="shared" si="48"/>
        <v>45</v>
      </c>
      <c r="F36" s="232">
        <f t="shared" si="48"/>
        <v>267</v>
      </c>
      <c r="G36" s="232">
        <f t="shared" si="48"/>
        <v>88</v>
      </c>
      <c r="H36" s="232">
        <f t="shared" si="48"/>
        <v>2120</v>
      </c>
      <c r="J36" s="6" t="s">
        <v>30</v>
      </c>
      <c r="K36" s="122"/>
      <c r="L36" s="232"/>
      <c r="M36" s="232">
        <f>N36+O36+P36+Q36</f>
        <v>0</v>
      </c>
      <c r="N36" s="232">
        <v>0</v>
      </c>
      <c r="O36" s="232">
        <v>0</v>
      </c>
      <c r="P36" s="232">
        <v>0</v>
      </c>
      <c r="Q36" s="232"/>
      <c r="R36" s="6" t="s">
        <v>30</v>
      </c>
      <c r="S36" s="267">
        <f>27.12+2.8</f>
        <v>29.92</v>
      </c>
      <c r="T36" s="232">
        <f>2535+267</f>
        <v>2802</v>
      </c>
      <c r="U36" s="232">
        <f>V36+W36+X36+Y36</f>
        <v>2520</v>
      </c>
      <c r="V36" s="232">
        <f>45</f>
        <v>45</v>
      </c>
      <c r="W36" s="232">
        <f>252+15</f>
        <v>267</v>
      </c>
      <c r="X36" s="232">
        <f>86+2</f>
        <v>88</v>
      </c>
      <c r="Y36" s="232">
        <f>1923+197</f>
        <v>2120</v>
      </c>
      <c r="Z36" s="67"/>
      <c r="AA36" s="68" t="s">
        <v>30</v>
      </c>
      <c r="AB36" s="232"/>
      <c r="AC36" s="232"/>
      <c r="AD36" s="232">
        <f>AE36+AF36+AG36+AH36</f>
        <v>0</v>
      </c>
      <c r="AE36" s="232">
        <v>0</v>
      </c>
      <c r="AF36" s="232"/>
      <c r="AG36" s="232"/>
      <c r="AH36" s="232"/>
      <c r="AJ36" s="6" t="s">
        <v>30</v>
      </c>
      <c r="AK36" s="232"/>
      <c r="AL36" s="232"/>
      <c r="AM36" s="232">
        <f t="shared" si="44"/>
        <v>0</v>
      </c>
      <c r="AN36" s="232">
        <v>0</v>
      </c>
      <c r="AO36" s="232">
        <v>0</v>
      </c>
      <c r="AP36" s="232">
        <v>0</v>
      </c>
      <c r="AQ36" s="232"/>
      <c r="AS36" t="s">
        <v>97</v>
      </c>
    </row>
    <row r="37" spans="1:49">
      <c r="A37" s="6" t="s">
        <v>12</v>
      </c>
      <c r="B37" s="51">
        <f t="shared" ref="B37:H37" si="49">B36/B35*100</f>
        <v>82.880886426592809</v>
      </c>
      <c r="C37" s="51">
        <f t="shared" si="49"/>
        <v>99.502840909090907</v>
      </c>
      <c r="D37" s="122">
        <f t="shared" si="49"/>
        <v>100.67918497802637</v>
      </c>
      <c r="E37" s="51">
        <f t="shared" si="49"/>
        <v>642.85714285714289</v>
      </c>
      <c r="F37" s="51">
        <f t="shared" si="49"/>
        <v>39.149560117302052</v>
      </c>
      <c r="G37" s="51">
        <f t="shared" si="49"/>
        <v>40.74074074074074</v>
      </c>
      <c r="H37" s="51">
        <f t="shared" si="49"/>
        <v>132.66583229036294</v>
      </c>
      <c r="I37" s="21"/>
      <c r="J37" s="6" t="s">
        <v>12</v>
      </c>
      <c r="K37" s="122">
        <f t="shared" ref="K37:Q37" si="50">K36/K35*100</f>
        <v>0</v>
      </c>
      <c r="L37" s="51">
        <f t="shared" si="50"/>
        <v>0</v>
      </c>
      <c r="M37" s="51">
        <f t="shared" si="50"/>
        <v>0</v>
      </c>
      <c r="N37" s="51" t="e">
        <f>N36/N35*100</f>
        <v>#DIV/0!</v>
      </c>
      <c r="O37" s="51">
        <f t="shared" si="50"/>
        <v>0</v>
      </c>
      <c r="P37" s="51">
        <f t="shared" si="50"/>
        <v>0</v>
      </c>
      <c r="Q37" s="51">
        <f t="shared" si="50"/>
        <v>0</v>
      </c>
      <c r="R37" s="6" t="s">
        <v>12</v>
      </c>
      <c r="S37" s="51">
        <f t="shared" ref="S37:Y37" si="51">S36/S35*100</f>
        <v>86.224783861671469</v>
      </c>
      <c r="T37" s="51">
        <f t="shared" si="51"/>
        <v>100.46611688777341</v>
      </c>
      <c r="U37" s="51">
        <f t="shared" si="51"/>
        <v>101.53102336825141</v>
      </c>
      <c r="V37" s="51">
        <f t="shared" si="51"/>
        <v>642.85714285714289</v>
      </c>
      <c r="W37" s="51">
        <f t="shared" si="51"/>
        <v>39.207048458149778</v>
      </c>
      <c r="X37" s="51">
        <f t="shared" si="51"/>
        <v>41.121495327102799</v>
      </c>
      <c r="Y37" s="51">
        <f t="shared" si="51"/>
        <v>134.17721518987344</v>
      </c>
      <c r="Z37" s="72"/>
      <c r="AA37" s="68" t="s">
        <v>12</v>
      </c>
      <c r="AB37" s="232"/>
      <c r="AC37" s="232"/>
      <c r="AD37" s="232">
        <f>AE37+AF37+AG37+AH37</f>
        <v>0</v>
      </c>
      <c r="AE37" s="232"/>
      <c r="AF37" s="232"/>
      <c r="AG37" s="232"/>
      <c r="AH37" s="232"/>
      <c r="AJ37" s="6" t="s">
        <v>12</v>
      </c>
      <c r="AK37" s="51">
        <f t="shared" ref="AK37:AQ37" si="52">AK36/AK35*100</f>
        <v>0</v>
      </c>
      <c r="AL37" s="51">
        <f t="shared" si="52"/>
        <v>0</v>
      </c>
      <c r="AM37" s="51">
        <f t="shared" si="52"/>
        <v>0</v>
      </c>
      <c r="AN37" s="51" t="e">
        <f t="shared" si="52"/>
        <v>#DIV/0!</v>
      </c>
      <c r="AO37" s="51" t="e">
        <f t="shared" si="52"/>
        <v>#DIV/0!</v>
      </c>
      <c r="AP37" s="51" t="e">
        <f t="shared" si="52"/>
        <v>#DIV/0!</v>
      </c>
      <c r="AQ37" s="51">
        <f t="shared" si="52"/>
        <v>0</v>
      </c>
      <c r="AT37" t="s">
        <v>98</v>
      </c>
    </row>
    <row r="38" spans="1:49" s="219" customFormat="1">
      <c r="A38" s="118" t="s">
        <v>31</v>
      </c>
      <c r="B38" s="119">
        <f>+K38+S38+AK38</f>
        <v>144.39999999999998</v>
      </c>
      <c r="C38" s="119">
        <f>+L38+T38+AL38</f>
        <v>6216</v>
      </c>
      <c r="D38" s="119">
        <f>E38+F38+G38+H38</f>
        <v>5154</v>
      </c>
      <c r="E38" s="119">
        <f t="shared" ref="E38:H39" si="53">+N38+V38+AN38</f>
        <v>585</v>
      </c>
      <c r="F38" s="119">
        <f t="shared" si="53"/>
        <v>1728</v>
      </c>
      <c r="G38" s="119">
        <f t="shared" si="53"/>
        <v>266</v>
      </c>
      <c r="H38" s="119">
        <f t="shared" si="53"/>
        <v>2575</v>
      </c>
      <c r="J38" s="118" t="s">
        <v>31</v>
      </c>
      <c r="K38" s="119">
        <v>90.6</v>
      </c>
      <c r="L38" s="119">
        <v>3019</v>
      </c>
      <c r="M38" s="119">
        <f>N38+O38+P38+Q38</f>
        <v>2484</v>
      </c>
      <c r="N38" s="119">
        <v>153</v>
      </c>
      <c r="O38" s="119">
        <v>1083</v>
      </c>
      <c r="P38" s="119">
        <v>143</v>
      </c>
      <c r="Q38" s="119">
        <v>1105</v>
      </c>
      <c r="R38" s="118" t="s">
        <v>31</v>
      </c>
      <c r="S38" s="119">
        <v>47.8</v>
      </c>
      <c r="T38" s="119">
        <v>2870</v>
      </c>
      <c r="U38" s="119">
        <f>V38+W38+X38+Y38</f>
        <v>2403</v>
      </c>
      <c r="V38" s="119">
        <v>421</v>
      </c>
      <c r="W38" s="119">
        <v>584</v>
      </c>
      <c r="X38" s="119">
        <v>109</v>
      </c>
      <c r="Y38" s="119">
        <v>1289</v>
      </c>
      <c r="Z38" s="254"/>
      <c r="AA38" s="120" t="s">
        <v>31</v>
      </c>
      <c r="AB38" s="119">
        <v>7.8</v>
      </c>
      <c r="AC38" s="119">
        <v>506</v>
      </c>
      <c r="AD38" s="119">
        <f>AE38+AF38+AG38+AH38</f>
        <v>430</v>
      </c>
      <c r="AE38" s="119">
        <v>124</v>
      </c>
      <c r="AF38" s="119">
        <v>99</v>
      </c>
      <c r="AG38" s="119">
        <v>10</v>
      </c>
      <c r="AH38" s="119">
        <v>197</v>
      </c>
      <c r="AJ38" s="118" t="s">
        <v>31</v>
      </c>
      <c r="AK38" s="119">
        <v>6</v>
      </c>
      <c r="AL38" s="119">
        <v>327</v>
      </c>
      <c r="AM38" s="119">
        <f t="shared" si="44"/>
        <v>267</v>
      </c>
      <c r="AN38" s="119">
        <v>11</v>
      </c>
      <c r="AO38" s="119">
        <v>61</v>
      </c>
      <c r="AP38" s="119">
        <v>14</v>
      </c>
      <c r="AQ38" s="119">
        <v>181</v>
      </c>
      <c r="AS38"/>
      <c r="AT38"/>
      <c r="AU38"/>
      <c r="AV38"/>
      <c r="AW38"/>
    </row>
    <row r="39" spans="1:49">
      <c r="A39" s="6" t="s">
        <v>32</v>
      </c>
      <c r="B39" s="122">
        <f>+K39+S39+AK39</f>
        <v>212.45000000000002</v>
      </c>
      <c r="C39" s="232">
        <f>+L39+T39+AL39</f>
        <v>10314</v>
      </c>
      <c r="D39" s="232">
        <f>E39+F39+G39+H39</f>
        <v>9374</v>
      </c>
      <c r="E39" s="232">
        <f t="shared" si="53"/>
        <v>1266</v>
      </c>
      <c r="F39" s="232">
        <f t="shared" si="53"/>
        <v>1373</v>
      </c>
      <c r="G39" s="232">
        <f t="shared" si="53"/>
        <v>219</v>
      </c>
      <c r="H39" s="232">
        <f t="shared" si="53"/>
        <v>6516</v>
      </c>
      <c r="J39" s="6" t="s">
        <v>32</v>
      </c>
      <c r="K39" s="122">
        <f>134.74+12.16+2.56</f>
        <v>149.46</v>
      </c>
      <c r="L39" s="232">
        <f>5583+326+120</f>
        <v>6029</v>
      </c>
      <c r="M39" s="232">
        <f>N39+O39+P39+Q39</f>
        <v>5441</v>
      </c>
      <c r="N39" s="232">
        <f>555+12+40+15</f>
        <v>622</v>
      </c>
      <c r="O39" s="232">
        <f>781+13+10</f>
        <v>804</v>
      </c>
      <c r="P39" s="232">
        <f>91+2+4</f>
        <v>97</v>
      </c>
      <c r="Q39" s="232">
        <f>3604+234+80</f>
        <v>3918</v>
      </c>
      <c r="R39" s="6" t="s">
        <v>32</v>
      </c>
      <c r="S39" s="232">
        <f>52.64+3.15+7.2</f>
        <v>62.99</v>
      </c>
      <c r="T39" s="232">
        <f>3778+82+425</f>
        <v>4285</v>
      </c>
      <c r="U39" s="232">
        <f>V39+W39+X39+Y39</f>
        <v>3933</v>
      </c>
      <c r="V39" s="232">
        <f>600+4+40</f>
        <v>644</v>
      </c>
      <c r="W39" s="232">
        <f>498+1+70</f>
        <v>569</v>
      </c>
      <c r="X39" s="232">
        <f>102+20</f>
        <v>122</v>
      </c>
      <c r="Y39" s="232">
        <f>2273+69+256</f>
        <v>2598</v>
      </c>
      <c r="Z39" s="67"/>
      <c r="AA39" s="68" t="s">
        <v>32</v>
      </c>
      <c r="AB39" s="122">
        <v>5.34</v>
      </c>
      <c r="AC39" s="232">
        <v>590</v>
      </c>
      <c r="AD39" s="379">
        <f>AE39+AF39+AG39+AH39</f>
        <v>571</v>
      </c>
      <c r="AE39" s="232">
        <v>70</v>
      </c>
      <c r="AF39" s="232">
        <v>120</v>
      </c>
      <c r="AG39" s="232">
        <v>30</v>
      </c>
      <c r="AH39" s="232">
        <v>351</v>
      </c>
      <c r="AJ39" s="6" t="s">
        <v>32</v>
      </c>
      <c r="AK39" s="123"/>
      <c r="AL39" s="232"/>
      <c r="AM39" s="379">
        <f t="shared" si="44"/>
        <v>0</v>
      </c>
      <c r="AN39" s="232"/>
      <c r="AO39" s="232"/>
      <c r="AP39" s="232"/>
      <c r="AQ39" s="232"/>
    </row>
    <row r="40" spans="1:49">
      <c r="A40" s="6" t="s">
        <v>12</v>
      </c>
      <c r="B40" s="51">
        <f t="shared" ref="B40:H40" si="54">B39/B38*100</f>
        <v>147.12603878116346</v>
      </c>
      <c r="C40" s="51">
        <f t="shared" si="54"/>
        <v>165.92664092664094</v>
      </c>
      <c r="D40" s="51">
        <f t="shared" si="54"/>
        <v>181.87815289095849</v>
      </c>
      <c r="E40" s="51">
        <f t="shared" si="54"/>
        <v>216.41025641025641</v>
      </c>
      <c r="F40" s="51">
        <f t="shared" si="54"/>
        <v>79.456018518518519</v>
      </c>
      <c r="G40" s="51">
        <f t="shared" si="54"/>
        <v>82.330827067669176</v>
      </c>
      <c r="H40" s="51">
        <f t="shared" si="54"/>
        <v>253.04854368932038</v>
      </c>
      <c r="I40" s="21"/>
      <c r="J40" s="6" t="s">
        <v>12</v>
      </c>
      <c r="K40" s="51">
        <f t="shared" ref="K40:Q40" si="55">K39/K38*100</f>
        <v>164.96688741721857</v>
      </c>
      <c r="L40" s="51">
        <f t="shared" si="55"/>
        <v>199.70188804239814</v>
      </c>
      <c r="M40" s="51">
        <f t="shared" si="55"/>
        <v>219.04186795491145</v>
      </c>
      <c r="N40" s="51">
        <f t="shared" si="55"/>
        <v>406.53594771241831</v>
      </c>
      <c r="O40" s="51">
        <f t="shared" si="55"/>
        <v>74.23822714681441</v>
      </c>
      <c r="P40" s="51">
        <f t="shared" si="55"/>
        <v>67.832167832167841</v>
      </c>
      <c r="Q40" s="51">
        <f t="shared" si="55"/>
        <v>354.5701357466063</v>
      </c>
      <c r="R40" s="6" t="s">
        <v>12</v>
      </c>
      <c r="S40" s="51">
        <f t="shared" ref="S40:Y40" si="56">S39/S38*100</f>
        <v>131.77824267782427</v>
      </c>
      <c r="T40" s="51">
        <f t="shared" si="56"/>
        <v>149.30313588850174</v>
      </c>
      <c r="U40" s="51">
        <f t="shared" si="56"/>
        <v>163.67041198501872</v>
      </c>
      <c r="V40" s="51">
        <f t="shared" si="56"/>
        <v>152.96912114014251</v>
      </c>
      <c r="W40" s="51">
        <f t="shared" si="56"/>
        <v>97.43150684931507</v>
      </c>
      <c r="X40" s="51">
        <f t="shared" si="56"/>
        <v>111.92660550458714</v>
      </c>
      <c r="Y40" s="51">
        <f t="shared" si="56"/>
        <v>201.55159038013966</v>
      </c>
      <c r="Z40" s="72"/>
      <c r="AA40" s="68" t="s">
        <v>12</v>
      </c>
      <c r="AB40" s="51">
        <f t="shared" ref="AB40:AH40" si="57">AB39/AB38*100</f>
        <v>68.461538461538467</v>
      </c>
      <c r="AC40" s="51">
        <f t="shared" si="57"/>
        <v>116.60079051383399</v>
      </c>
      <c r="AD40" s="51">
        <f t="shared" si="57"/>
        <v>132.7906976744186</v>
      </c>
      <c r="AE40" s="51">
        <f t="shared" si="57"/>
        <v>56.451612903225815</v>
      </c>
      <c r="AF40" s="51">
        <f t="shared" si="57"/>
        <v>121.21212121212122</v>
      </c>
      <c r="AG40" s="51">
        <f t="shared" si="57"/>
        <v>300</v>
      </c>
      <c r="AH40" s="51">
        <f t="shared" si="57"/>
        <v>178.17258883248729</v>
      </c>
      <c r="AI40" s="21"/>
      <c r="AJ40" s="6" t="s">
        <v>12</v>
      </c>
      <c r="AK40" s="51">
        <f t="shared" ref="AK40:AQ40" si="58">AK39/AK38*100</f>
        <v>0</v>
      </c>
      <c r="AL40" s="51">
        <f t="shared" si="58"/>
        <v>0</v>
      </c>
      <c r="AM40" s="51">
        <f t="shared" si="58"/>
        <v>0</v>
      </c>
      <c r="AN40" s="51">
        <f t="shared" si="58"/>
        <v>0</v>
      </c>
      <c r="AO40" s="51">
        <f t="shared" si="58"/>
        <v>0</v>
      </c>
      <c r="AP40" s="51">
        <f t="shared" si="58"/>
        <v>0</v>
      </c>
      <c r="AQ40" s="51">
        <f t="shared" si="58"/>
        <v>0</v>
      </c>
    </row>
    <row r="42" spans="1:49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9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9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9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9">
      <c r="A46" s="82" t="s">
        <v>40</v>
      </c>
      <c r="B46" s="83">
        <f t="shared" ref="B46:H47" si="59">K9+S9+AK9</f>
        <v>714.80000000000007</v>
      </c>
      <c r="C46" s="83">
        <f t="shared" si="59"/>
        <v>31574</v>
      </c>
      <c r="D46" s="83">
        <f t="shared" si="59"/>
        <v>27450</v>
      </c>
      <c r="E46" s="83">
        <f t="shared" si="59"/>
        <v>1311</v>
      </c>
      <c r="F46" s="83">
        <f t="shared" si="59"/>
        <v>6469</v>
      </c>
      <c r="G46" s="83">
        <f t="shared" si="59"/>
        <v>984</v>
      </c>
      <c r="H46" s="83">
        <f t="shared" si="59"/>
        <v>18686</v>
      </c>
    </row>
    <row r="47" spans="1:49">
      <c r="A47" s="84" t="s">
        <v>50</v>
      </c>
      <c r="B47" s="83">
        <f t="shared" si="59"/>
        <v>729.1</v>
      </c>
      <c r="C47" s="83">
        <f t="shared" si="59"/>
        <v>31475</v>
      </c>
      <c r="D47" s="83">
        <f t="shared" si="59"/>
        <v>28751</v>
      </c>
      <c r="E47" s="83">
        <f t="shared" si="59"/>
        <v>2984</v>
      </c>
      <c r="F47" s="83">
        <f t="shared" si="59"/>
        <v>4017</v>
      </c>
      <c r="G47" s="83">
        <f t="shared" si="59"/>
        <v>774</v>
      </c>
      <c r="H47" s="83">
        <f t="shared" si="59"/>
        <v>20976</v>
      </c>
    </row>
    <row r="48" spans="1:49">
      <c r="A48" s="85" t="s">
        <v>44</v>
      </c>
      <c r="B48" s="86">
        <f>B47/B46*100</f>
        <v>102.00055959709009</v>
      </c>
      <c r="C48" s="86">
        <f t="shared" ref="C48:H48" si="60">C47/C46*100</f>
        <v>99.686450877304111</v>
      </c>
      <c r="D48" s="86">
        <f t="shared" si="60"/>
        <v>104.73952641165755</v>
      </c>
      <c r="E48" s="86">
        <f t="shared" si="60"/>
        <v>227.61250953470636</v>
      </c>
      <c r="F48" s="86">
        <f t="shared" si="60"/>
        <v>62.096150873396198</v>
      </c>
      <c r="G48" s="86">
        <f t="shared" si="60"/>
        <v>78.658536585365852</v>
      </c>
      <c r="H48" s="86">
        <f t="shared" si="60"/>
        <v>112.25516429412394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61">K13+S13+AK13</f>
        <v>19.3</v>
      </c>
      <c r="C50" s="90">
        <f t="shared" si="61"/>
        <v>1335</v>
      </c>
      <c r="D50" s="90">
        <f t="shared" si="61"/>
        <v>975</v>
      </c>
      <c r="E50" s="90">
        <f t="shared" si="61"/>
        <v>183</v>
      </c>
      <c r="F50" s="90">
        <f t="shared" si="61"/>
        <v>403</v>
      </c>
      <c r="G50" s="90">
        <f t="shared" si="61"/>
        <v>72</v>
      </c>
      <c r="H50" s="90">
        <f t="shared" si="61"/>
        <v>317</v>
      </c>
    </row>
    <row r="51" spans="1:8">
      <c r="A51" s="75" t="s">
        <v>50</v>
      </c>
      <c r="B51" s="90">
        <f t="shared" si="61"/>
        <v>0</v>
      </c>
      <c r="C51" s="90">
        <f t="shared" si="61"/>
        <v>0</v>
      </c>
      <c r="D51" s="90">
        <f t="shared" si="61"/>
        <v>0</v>
      </c>
      <c r="E51" s="90">
        <f t="shared" si="61"/>
        <v>0</v>
      </c>
      <c r="F51" s="90">
        <f t="shared" si="61"/>
        <v>0</v>
      </c>
      <c r="G51" s="90">
        <f t="shared" si="61"/>
        <v>0</v>
      </c>
      <c r="H51" s="90">
        <f t="shared" si="61"/>
        <v>0</v>
      </c>
    </row>
    <row r="52" spans="1:8">
      <c r="A52" s="75" t="s">
        <v>44</v>
      </c>
      <c r="B52" s="91">
        <f t="shared" ref="B52:H52" si="62">B51/B50*100</f>
        <v>0</v>
      </c>
      <c r="C52" s="91">
        <f t="shared" si="62"/>
        <v>0</v>
      </c>
      <c r="D52" s="91">
        <f t="shared" si="62"/>
        <v>0</v>
      </c>
      <c r="E52" s="91">
        <f t="shared" si="62"/>
        <v>0</v>
      </c>
      <c r="F52" s="91">
        <f t="shared" si="62"/>
        <v>0</v>
      </c>
      <c r="G52" s="91">
        <f t="shared" si="62"/>
        <v>0</v>
      </c>
      <c r="H52" s="91">
        <f t="shared" si="62"/>
        <v>0</v>
      </c>
    </row>
    <row r="53" spans="1:8">
      <c r="A53" s="75" t="s">
        <v>13</v>
      </c>
      <c r="B53" s="90">
        <f t="shared" ref="B53:H55" si="63">K16+S16+AK16</f>
        <v>0</v>
      </c>
      <c r="C53" s="90">
        <f t="shared" si="63"/>
        <v>0</v>
      </c>
      <c r="D53" s="90">
        <f t="shared" si="63"/>
        <v>0</v>
      </c>
      <c r="E53" s="90">
        <f t="shared" si="63"/>
        <v>0</v>
      </c>
      <c r="F53" s="90">
        <f t="shared" si="63"/>
        <v>0</v>
      </c>
      <c r="G53" s="90">
        <f t="shared" si="63"/>
        <v>0</v>
      </c>
      <c r="H53" s="90">
        <f t="shared" si="63"/>
        <v>0</v>
      </c>
    </row>
    <row r="54" spans="1:8">
      <c r="A54" s="92" t="s">
        <v>14</v>
      </c>
      <c r="B54" s="90">
        <f t="shared" si="63"/>
        <v>0</v>
      </c>
      <c r="C54" s="90">
        <f t="shared" si="63"/>
        <v>0</v>
      </c>
      <c r="D54" s="90">
        <f t="shared" si="63"/>
        <v>0</v>
      </c>
      <c r="E54" s="90">
        <f t="shared" si="63"/>
        <v>0</v>
      </c>
      <c r="F54" s="90">
        <f t="shared" si="63"/>
        <v>0</v>
      </c>
      <c r="G54" s="90">
        <f t="shared" si="63"/>
        <v>0</v>
      </c>
      <c r="H54" s="90">
        <f t="shared" si="63"/>
        <v>0</v>
      </c>
    </row>
    <row r="55" spans="1:8">
      <c r="A55" s="75" t="s">
        <v>15</v>
      </c>
      <c r="B55" s="90">
        <f t="shared" si="63"/>
        <v>0</v>
      </c>
      <c r="C55" s="90">
        <f t="shared" si="63"/>
        <v>0</v>
      </c>
      <c r="D55" s="90">
        <f t="shared" si="63"/>
        <v>0</v>
      </c>
      <c r="E55" s="90">
        <f t="shared" si="63"/>
        <v>0</v>
      </c>
      <c r="F55" s="90">
        <f t="shared" si="63"/>
        <v>0</v>
      </c>
      <c r="G55" s="90">
        <f t="shared" si="63"/>
        <v>0</v>
      </c>
      <c r="H55" s="90">
        <f t="shared" si="63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64">K20+S20+AK20</f>
        <v>695.5</v>
      </c>
      <c r="C57" s="90">
        <f t="shared" si="64"/>
        <v>30239</v>
      </c>
      <c r="D57" s="90">
        <f t="shared" si="64"/>
        <v>26475</v>
      </c>
      <c r="E57" s="90">
        <f t="shared" si="64"/>
        <v>1128</v>
      </c>
      <c r="F57" s="90">
        <f t="shared" si="64"/>
        <v>6066</v>
      </c>
      <c r="G57" s="90">
        <f t="shared" si="64"/>
        <v>912</v>
      </c>
      <c r="H57" s="90">
        <f t="shared" si="64"/>
        <v>18369</v>
      </c>
    </row>
    <row r="58" spans="1:8">
      <c r="A58" s="92" t="s">
        <v>50</v>
      </c>
      <c r="B58" s="90">
        <f t="shared" si="64"/>
        <v>729.1</v>
      </c>
      <c r="C58" s="90">
        <f t="shared" si="64"/>
        <v>31475</v>
      </c>
      <c r="D58" s="90">
        <f t="shared" si="64"/>
        <v>28751</v>
      </c>
      <c r="E58" s="90">
        <f t="shared" si="64"/>
        <v>2984</v>
      </c>
      <c r="F58" s="90">
        <f t="shared" si="64"/>
        <v>4017</v>
      </c>
      <c r="G58" s="90">
        <f t="shared" si="64"/>
        <v>774</v>
      </c>
      <c r="H58" s="90">
        <f t="shared" si="64"/>
        <v>20976</v>
      </c>
    </row>
    <row r="59" spans="1:8">
      <c r="A59" s="75" t="s">
        <v>44</v>
      </c>
      <c r="B59" s="91">
        <f t="shared" ref="B59:H59" si="65">B58/B57*100</f>
        <v>104.83105679367361</v>
      </c>
      <c r="C59" s="91">
        <f t="shared" si="65"/>
        <v>104.08743675386091</v>
      </c>
      <c r="D59" s="91">
        <f t="shared" si="65"/>
        <v>108.5967894239849</v>
      </c>
      <c r="E59" s="91">
        <f t="shared" si="65"/>
        <v>264.53900709219857</v>
      </c>
      <c r="F59" s="91">
        <f t="shared" si="65"/>
        <v>66.221562809099893</v>
      </c>
      <c r="G59" s="91">
        <f t="shared" si="65"/>
        <v>84.868421052631575</v>
      </c>
      <c r="H59" s="91">
        <f t="shared" si="65"/>
        <v>114.19238935162501</v>
      </c>
    </row>
    <row r="60" spans="1:8">
      <c r="A60" s="75" t="s">
        <v>21</v>
      </c>
      <c r="B60" s="90">
        <f t="shared" ref="B60:H61" si="66">K23+S23+AK23</f>
        <v>0.5</v>
      </c>
      <c r="C60" s="90">
        <f t="shared" si="66"/>
        <v>62</v>
      </c>
      <c r="D60" s="90">
        <f t="shared" si="66"/>
        <v>52</v>
      </c>
      <c r="E60" s="90">
        <f t="shared" si="66"/>
        <v>6</v>
      </c>
      <c r="F60" s="90">
        <f t="shared" si="66"/>
        <v>13</v>
      </c>
      <c r="G60" s="90">
        <f t="shared" si="66"/>
        <v>1</v>
      </c>
      <c r="H60" s="90">
        <f t="shared" si="66"/>
        <v>32</v>
      </c>
    </row>
    <row r="61" spans="1:8">
      <c r="A61" s="75" t="s">
        <v>51</v>
      </c>
      <c r="B61" s="90">
        <f t="shared" si="66"/>
        <v>0</v>
      </c>
      <c r="C61" s="90">
        <f t="shared" si="66"/>
        <v>0</v>
      </c>
      <c r="D61" s="90">
        <f t="shared" si="66"/>
        <v>0</v>
      </c>
      <c r="E61" s="90">
        <f t="shared" si="66"/>
        <v>0</v>
      </c>
      <c r="F61" s="90">
        <f t="shared" si="66"/>
        <v>0</v>
      </c>
      <c r="G61" s="90">
        <f t="shared" si="66"/>
        <v>0</v>
      </c>
      <c r="H61" s="90">
        <f t="shared" si="66"/>
        <v>0</v>
      </c>
    </row>
    <row r="62" spans="1:8">
      <c r="A62" s="75" t="s">
        <v>12</v>
      </c>
      <c r="B62" s="91">
        <f t="shared" ref="B62:H62" si="67">B61/B60*100</f>
        <v>0</v>
      </c>
      <c r="C62" s="91">
        <f t="shared" si="67"/>
        <v>0</v>
      </c>
      <c r="D62" s="91">
        <f t="shared" si="67"/>
        <v>0</v>
      </c>
      <c r="E62" s="91">
        <f t="shared" si="67"/>
        <v>0</v>
      </c>
      <c r="F62" s="91">
        <f t="shared" si="67"/>
        <v>0</v>
      </c>
      <c r="G62" s="91">
        <f t="shared" si="67"/>
        <v>0</v>
      </c>
      <c r="H62" s="91">
        <f t="shared" si="67"/>
        <v>0</v>
      </c>
    </row>
    <row r="63" spans="1:8">
      <c r="A63" s="75" t="s">
        <v>23</v>
      </c>
      <c r="B63" s="90">
        <f t="shared" ref="B63:H64" si="68">K26+S26+AK26</f>
        <v>142.5</v>
      </c>
      <c r="C63" s="90">
        <f t="shared" si="68"/>
        <v>4899</v>
      </c>
      <c r="D63" s="90">
        <f t="shared" si="68"/>
        <v>4362</v>
      </c>
      <c r="E63" s="90">
        <f t="shared" si="68"/>
        <v>58</v>
      </c>
      <c r="F63" s="90">
        <f t="shared" si="68"/>
        <v>862</v>
      </c>
      <c r="G63" s="90">
        <f t="shared" si="68"/>
        <v>196</v>
      </c>
      <c r="H63" s="90">
        <f t="shared" si="68"/>
        <v>3246</v>
      </c>
    </row>
    <row r="64" spans="1:8">
      <c r="A64" s="75" t="s">
        <v>45</v>
      </c>
      <c r="B64" s="90">
        <f t="shared" si="68"/>
        <v>118.34</v>
      </c>
      <c r="C64" s="90">
        <f t="shared" si="68"/>
        <v>3645</v>
      </c>
      <c r="D64" s="90">
        <f t="shared" si="68"/>
        <v>3314</v>
      </c>
      <c r="E64" s="90">
        <f t="shared" si="68"/>
        <v>292</v>
      </c>
      <c r="F64" s="90">
        <f t="shared" si="68"/>
        <v>492</v>
      </c>
      <c r="G64" s="90">
        <f t="shared" si="68"/>
        <v>112</v>
      </c>
      <c r="H64" s="90">
        <f t="shared" si="68"/>
        <v>2418</v>
      </c>
    </row>
    <row r="65" spans="1:8">
      <c r="A65" s="75" t="s">
        <v>12</v>
      </c>
      <c r="B65" s="91">
        <f t="shared" ref="B65:H65" si="69">B64/B63*100</f>
        <v>83.045614035087723</v>
      </c>
      <c r="C65" s="91">
        <f t="shared" si="69"/>
        <v>74.402939375382729</v>
      </c>
      <c r="D65" s="91">
        <f t="shared" si="69"/>
        <v>75.974323704722607</v>
      </c>
      <c r="E65" s="91">
        <f t="shared" si="69"/>
        <v>503.44827586206895</v>
      </c>
      <c r="F65" s="91">
        <f t="shared" si="69"/>
        <v>57.076566125290014</v>
      </c>
      <c r="G65" s="91">
        <f t="shared" si="69"/>
        <v>57.142857142857139</v>
      </c>
      <c r="H65" s="91">
        <f t="shared" si="69"/>
        <v>74.491682070240302</v>
      </c>
    </row>
    <row r="66" spans="1:8">
      <c r="A66" s="75" t="s">
        <v>25</v>
      </c>
      <c r="B66" s="90">
        <f t="shared" ref="B66:H67" si="70">K29+S29+AK29</f>
        <v>372</v>
      </c>
      <c r="C66" s="90">
        <f t="shared" si="70"/>
        <v>16246</v>
      </c>
      <c r="D66" s="90">
        <f t="shared" si="70"/>
        <v>14404</v>
      </c>
      <c r="E66" s="90">
        <f t="shared" si="70"/>
        <v>472</v>
      </c>
      <c r="F66" s="90">
        <f t="shared" si="70"/>
        <v>2781</v>
      </c>
      <c r="G66" s="90">
        <f t="shared" si="70"/>
        <v>233</v>
      </c>
      <c r="H66" s="90">
        <f t="shared" si="70"/>
        <v>10918</v>
      </c>
    </row>
    <row r="67" spans="1:8">
      <c r="A67" s="75" t="s">
        <v>46</v>
      </c>
      <c r="B67" s="90">
        <f t="shared" si="70"/>
        <v>368.39</v>
      </c>
      <c r="C67" s="90">
        <f t="shared" si="70"/>
        <v>14714</v>
      </c>
      <c r="D67" s="90">
        <f t="shared" si="70"/>
        <v>13543</v>
      </c>
      <c r="E67" s="90">
        <f t="shared" si="70"/>
        <v>1381</v>
      </c>
      <c r="F67" s="90">
        <f t="shared" si="70"/>
        <v>1885</v>
      </c>
      <c r="G67" s="90">
        <f t="shared" si="70"/>
        <v>355</v>
      </c>
      <c r="H67" s="90">
        <f t="shared" si="70"/>
        <v>9922</v>
      </c>
    </row>
    <row r="68" spans="1:8">
      <c r="A68" s="75" t="s">
        <v>12</v>
      </c>
      <c r="B68" s="91">
        <f t="shared" ref="B68:H68" si="71">B67/B66*100</f>
        <v>99.02956989247312</v>
      </c>
      <c r="C68" s="91">
        <f t="shared" si="71"/>
        <v>90.569986458205094</v>
      </c>
      <c r="D68" s="91">
        <f t="shared" si="71"/>
        <v>94.022493751735624</v>
      </c>
      <c r="E68" s="91">
        <f t="shared" si="71"/>
        <v>292.58474576271186</v>
      </c>
      <c r="F68" s="91">
        <f t="shared" si="71"/>
        <v>67.781373606616327</v>
      </c>
      <c r="G68" s="91">
        <f t="shared" si="71"/>
        <v>152.36051502145921</v>
      </c>
      <c r="H68" s="91">
        <f t="shared" si="71"/>
        <v>90.877450082432674</v>
      </c>
    </row>
    <row r="69" spans="1:8">
      <c r="A69" s="75" t="s">
        <v>27</v>
      </c>
      <c r="B69" s="90">
        <f t="shared" ref="B69:H70" si="72">K32+S32+AK32</f>
        <v>0</v>
      </c>
      <c r="C69" s="90">
        <f t="shared" si="72"/>
        <v>0</v>
      </c>
      <c r="D69" s="90">
        <f t="shared" si="72"/>
        <v>0</v>
      </c>
      <c r="E69" s="90">
        <f t="shared" si="72"/>
        <v>0</v>
      </c>
      <c r="F69" s="90">
        <f t="shared" si="72"/>
        <v>0</v>
      </c>
      <c r="G69" s="90">
        <f t="shared" si="72"/>
        <v>0</v>
      </c>
      <c r="H69" s="90">
        <f t="shared" si="72"/>
        <v>0</v>
      </c>
    </row>
    <row r="70" spans="1:8">
      <c r="A70" s="75" t="s">
        <v>47</v>
      </c>
      <c r="B70" s="90">
        <f t="shared" si="72"/>
        <v>0</v>
      </c>
      <c r="C70" s="90">
        <f t="shared" si="72"/>
        <v>0</v>
      </c>
      <c r="D70" s="90">
        <f t="shared" si="72"/>
        <v>0</v>
      </c>
      <c r="E70" s="90">
        <f t="shared" si="72"/>
        <v>0</v>
      </c>
      <c r="F70" s="90">
        <f t="shared" si="72"/>
        <v>0</v>
      </c>
      <c r="G70" s="90">
        <f t="shared" si="72"/>
        <v>0</v>
      </c>
      <c r="H70" s="90">
        <f t="shared" si="72"/>
        <v>0</v>
      </c>
    </row>
    <row r="71" spans="1:8">
      <c r="A71" s="75" t="s">
        <v>12</v>
      </c>
      <c r="B71" s="91" t="e">
        <f t="shared" ref="B71:H71" si="73">B70/B69*100</f>
        <v>#DIV/0!</v>
      </c>
      <c r="C71" s="91" t="e">
        <f t="shared" si="73"/>
        <v>#DIV/0!</v>
      </c>
      <c r="D71" s="91" t="e">
        <f t="shared" si="73"/>
        <v>#DIV/0!</v>
      </c>
      <c r="E71" s="91" t="e">
        <f t="shared" si="73"/>
        <v>#DIV/0!</v>
      </c>
      <c r="F71" s="91" t="e">
        <f t="shared" si="73"/>
        <v>#DIV/0!</v>
      </c>
      <c r="G71" s="91" t="e">
        <f t="shared" si="73"/>
        <v>#DIV/0!</v>
      </c>
      <c r="H71" s="91" t="e">
        <f t="shared" si="73"/>
        <v>#DIV/0!</v>
      </c>
    </row>
    <row r="72" spans="1:8">
      <c r="A72" s="75" t="s">
        <v>29</v>
      </c>
      <c r="B72" s="90">
        <f t="shared" ref="B72:H73" si="74">K35+S35+AK35</f>
        <v>36.1</v>
      </c>
      <c r="C72" s="90">
        <f t="shared" si="74"/>
        <v>2816</v>
      </c>
      <c r="D72" s="90">
        <f t="shared" si="74"/>
        <v>2503</v>
      </c>
      <c r="E72" s="90">
        <f t="shared" si="74"/>
        <v>7</v>
      </c>
      <c r="F72" s="90">
        <f t="shared" si="74"/>
        <v>682</v>
      </c>
      <c r="G72" s="90">
        <f t="shared" si="74"/>
        <v>216</v>
      </c>
      <c r="H72" s="90">
        <f t="shared" si="74"/>
        <v>1598</v>
      </c>
    </row>
    <row r="73" spans="1:8">
      <c r="A73" s="75" t="s">
        <v>48</v>
      </c>
      <c r="B73" s="90">
        <f t="shared" si="74"/>
        <v>29.92</v>
      </c>
      <c r="C73" s="90">
        <f t="shared" si="74"/>
        <v>2802</v>
      </c>
      <c r="D73" s="90">
        <f t="shared" si="74"/>
        <v>2520</v>
      </c>
      <c r="E73" s="90">
        <f t="shared" si="74"/>
        <v>45</v>
      </c>
      <c r="F73" s="90">
        <f t="shared" si="74"/>
        <v>267</v>
      </c>
      <c r="G73" s="90">
        <f t="shared" si="74"/>
        <v>88</v>
      </c>
      <c r="H73" s="90">
        <f t="shared" si="74"/>
        <v>2120</v>
      </c>
    </row>
    <row r="74" spans="1:8">
      <c r="A74" s="75" t="s">
        <v>12</v>
      </c>
      <c r="B74" s="91">
        <f t="shared" ref="B74:H74" si="75">B73/B72*100</f>
        <v>82.880886426592809</v>
      </c>
      <c r="C74" s="91">
        <f t="shared" si="75"/>
        <v>99.502840909090907</v>
      </c>
      <c r="D74" s="91">
        <f t="shared" si="75"/>
        <v>100.67918497802637</v>
      </c>
      <c r="E74" s="91">
        <f t="shared" si="75"/>
        <v>642.85714285714289</v>
      </c>
      <c r="F74" s="91">
        <f t="shared" si="75"/>
        <v>39.149560117302052</v>
      </c>
      <c r="G74" s="91">
        <f t="shared" si="75"/>
        <v>40.74074074074074</v>
      </c>
      <c r="H74" s="91">
        <f t="shared" si="75"/>
        <v>132.66583229036294</v>
      </c>
    </row>
    <row r="75" spans="1:8">
      <c r="A75" s="75" t="s">
        <v>31</v>
      </c>
      <c r="B75" s="90">
        <f t="shared" ref="B75:H76" si="76">K38+S38+AK38</f>
        <v>144.39999999999998</v>
      </c>
      <c r="C75" s="90">
        <f t="shared" si="76"/>
        <v>6216</v>
      </c>
      <c r="D75" s="90">
        <f t="shared" si="76"/>
        <v>5154</v>
      </c>
      <c r="E75" s="90">
        <f t="shared" si="76"/>
        <v>585</v>
      </c>
      <c r="F75" s="90">
        <f t="shared" si="76"/>
        <v>1728</v>
      </c>
      <c r="G75" s="90">
        <f t="shared" si="76"/>
        <v>266</v>
      </c>
      <c r="H75" s="90">
        <f t="shared" si="76"/>
        <v>2575</v>
      </c>
    </row>
    <row r="76" spans="1:8">
      <c r="A76" s="75" t="s">
        <v>52</v>
      </c>
      <c r="B76" s="90">
        <f t="shared" si="76"/>
        <v>212.45000000000002</v>
      </c>
      <c r="C76" s="90">
        <f t="shared" si="76"/>
        <v>10314</v>
      </c>
      <c r="D76" s="90">
        <f t="shared" si="76"/>
        <v>9374</v>
      </c>
      <c r="E76" s="90">
        <f t="shared" si="76"/>
        <v>1266</v>
      </c>
      <c r="F76" s="90">
        <f t="shared" si="76"/>
        <v>1373</v>
      </c>
      <c r="G76" s="90">
        <f t="shared" si="76"/>
        <v>219</v>
      </c>
      <c r="H76" s="90">
        <f t="shared" si="76"/>
        <v>6516</v>
      </c>
    </row>
    <row r="77" spans="1:8">
      <c r="A77" s="75" t="s">
        <v>12</v>
      </c>
      <c r="B77" s="91">
        <f t="shared" ref="B77:H77" si="77">B76/B75*100</f>
        <v>147.12603878116346</v>
      </c>
      <c r="C77" s="91">
        <f t="shared" si="77"/>
        <v>165.92664092664094</v>
      </c>
      <c r="D77" s="91">
        <f t="shared" si="77"/>
        <v>181.87815289095849</v>
      </c>
      <c r="E77" s="91">
        <f t="shared" si="77"/>
        <v>216.41025641025641</v>
      </c>
      <c r="F77" s="91">
        <f t="shared" si="77"/>
        <v>79.456018518518519</v>
      </c>
      <c r="G77" s="91">
        <f t="shared" si="77"/>
        <v>82.330827067669176</v>
      </c>
      <c r="H77" s="91">
        <f t="shared" si="77"/>
        <v>253.04854368932038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78">B9-B46</f>
        <v>0</v>
      </c>
      <c r="C83" s="83">
        <f t="shared" si="78"/>
        <v>0</v>
      </c>
      <c r="D83" s="83">
        <f t="shared" si="78"/>
        <v>0</v>
      </c>
      <c r="E83" s="83">
        <f t="shared" si="78"/>
        <v>0</v>
      </c>
      <c r="F83" s="83">
        <f t="shared" si="78"/>
        <v>0</v>
      </c>
      <c r="G83" s="83">
        <f t="shared" si="78"/>
        <v>0</v>
      </c>
      <c r="H83" s="83">
        <f t="shared" si="78"/>
        <v>0</v>
      </c>
    </row>
    <row r="84" spans="1:8">
      <c r="A84" s="84" t="s">
        <v>50</v>
      </c>
      <c r="B84" s="83">
        <f t="shared" si="78"/>
        <v>0</v>
      </c>
      <c r="C84" s="83">
        <f t="shared" si="78"/>
        <v>0</v>
      </c>
      <c r="D84" s="83">
        <f t="shared" si="78"/>
        <v>0</v>
      </c>
      <c r="E84" s="83">
        <f t="shared" si="78"/>
        <v>0</v>
      </c>
      <c r="F84" s="83">
        <f t="shared" si="78"/>
        <v>0</v>
      </c>
      <c r="G84" s="83">
        <f t="shared" si="78"/>
        <v>0</v>
      </c>
      <c r="H84" s="83">
        <f t="shared" si="78"/>
        <v>0</v>
      </c>
    </row>
    <row r="85" spans="1:8">
      <c r="A85" s="85" t="s">
        <v>44</v>
      </c>
      <c r="B85" s="83">
        <f t="shared" si="78"/>
        <v>0</v>
      </c>
      <c r="C85" s="83">
        <f t="shared" si="78"/>
        <v>0</v>
      </c>
      <c r="D85" s="83">
        <f t="shared" si="78"/>
        <v>0</v>
      </c>
      <c r="E85" s="83">
        <f t="shared" si="78"/>
        <v>0</v>
      </c>
      <c r="F85" s="83">
        <f t="shared" si="78"/>
        <v>0</v>
      </c>
      <c r="G85" s="83">
        <f t="shared" si="78"/>
        <v>0</v>
      </c>
      <c r="H85" s="83">
        <f t="shared" si="78"/>
        <v>0</v>
      </c>
    </row>
    <row r="86" spans="1:8">
      <c r="A86" s="87" t="s">
        <v>11</v>
      </c>
      <c r="B86" s="83">
        <f t="shared" si="78"/>
        <v>0</v>
      </c>
      <c r="C86" s="83">
        <f t="shared" si="78"/>
        <v>0</v>
      </c>
      <c r="D86" s="83">
        <f t="shared" si="78"/>
        <v>0</v>
      </c>
      <c r="E86" s="83">
        <f t="shared" si="78"/>
        <v>0</v>
      </c>
      <c r="F86" s="83">
        <f t="shared" si="78"/>
        <v>0</v>
      </c>
      <c r="G86" s="83">
        <f t="shared" si="78"/>
        <v>0</v>
      </c>
      <c r="H86" s="83">
        <f t="shared" si="78"/>
        <v>0</v>
      </c>
    </row>
    <row r="87" spans="1:8">
      <c r="A87" s="75" t="s">
        <v>40</v>
      </c>
      <c r="B87" s="83">
        <f t="shared" si="78"/>
        <v>0</v>
      </c>
      <c r="C87" s="83">
        <f t="shared" si="78"/>
        <v>0</v>
      </c>
      <c r="D87" s="83">
        <f t="shared" si="78"/>
        <v>0</v>
      </c>
      <c r="E87" s="83">
        <f t="shared" si="78"/>
        <v>0</v>
      </c>
      <c r="F87" s="83">
        <f t="shared" si="78"/>
        <v>0</v>
      </c>
      <c r="G87" s="83">
        <f t="shared" si="78"/>
        <v>0</v>
      </c>
      <c r="H87" s="83">
        <f t="shared" si="78"/>
        <v>0</v>
      </c>
    </row>
    <row r="88" spans="1:8">
      <c r="A88" s="75" t="s">
        <v>50</v>
      </c>
      <c r="B88" s="83">
        <f t="shared" si="78"/>
        <v>0</v>
      </c>
      <c r="C88" s="83">
        <f t="shared" si="78"/>
        <v>0</v>
      </c>
      <c r="D88" s="83">
        <f t="shared" si="78"/>
        <v>0</v>
      </c>
      <c r="E88" s="83">
        <f t="shared" si="78"/>
        <v>0</v>
      </c>
      <c r="F88" s="83">
        <f t="shared" si="78"/>
        <v>0</v>
      </c>
      <c r="G88" s="83">
        <f t="shared" si="78"/>
        <v>0</v>
      </c>
      <c r="H88" s="83">
        <f t="shared" si="78"/>
        <v>0</v>
      </c>
    </row>
    <row r="89" spans="1:8">
      <c r="A89" s="75" t="s">
        <v>44</v>
      </c>
      <c r="B89" s="83">
        <f t="shared" si="78"/>
        <v>0</v>
      </c>
      <c r="C89" s="83">
        <f t="shared" si="78"/>
        <v>0</v>
      </c>
      <c r="D89" s="83">
        <f t="shared" si="78"/>
        <v>0</v>
      </c>
      <c r="E89" s="83">
        <f t="shared" si="78"/>
        <v>0</v>
      </c>
      <c r="F89" s="83">
        <f t="shared" si="78"/>
        <v>0</v>
      </c>
      <c r="G89" s="83">
        <f t="shared" si="78"/>
        <v>0</v>
      </c>
      <c r="H89" s="83">
        <f t="shared" si="78"/>
        <v>0</v>
      </c>
    </row>
    <row r="90" spans="1:8">
      <c r="A90" s="75" t="s">
        <v>13</v>
      </c>
      <c r="B90" s="83">
        <f t="shared" si="78"/>
        <v>0</v>
      </c>
      <c r="C90" s="83">
        <f t="shared" si="78"/>
        <v>0</v>
      </c>
      <c r="D90" s="83">
        <f t="shared" si="78"/>
        <v>0</v>
      </c>
      <c r="E90" s="83">
        <f t="shared" si="78"/>
        <v>0</v>
      </c>
      <c r="F90" s="83">
        <f t="shared" si="78"/>
        <v>0</v>
      </c>
      <c r="G90" s="83">
        <f t="shared" si="78"/>
        <v>0</v>
      </c>
      <c r="H90" s="83">
        <f t="shared" si="78"/>
        <v>0</v>
      </c>
    </row>
    <row r="91" spans="1:8">
      <c r="A91" s="92" t="s">
        <v>14</v>
      </c>
      <c r="B91" s="83">
        <f t="shared" si="78"/>
        <v>0</v>
      </c>
      <c r="C91" s="83">
        <f t="shared" si="78"/>
        <v>0</v>
      </c>
      <c r="D91" s="83">
        <f t="shared" si="78"/>
        <v>0</v>
      </c>
      <c r="E91" s="83">
        <f t="shared" si="78"/>
        <v>0</v>
      </c>
      <c r="F91" s="83">
        <f t="shared" si="78"/>
        <v>0</v>
      </c>
      <c r="G91" s="83">
        <f t="shared" si="78"/>
        <v>0</v>
      </c>
      <c r="H91" s="83">
        <f t="shared" si="78"/>
        <v>0</v>
      </c>
    </row>
    <row r="92" spans="1:8">
      <c r="A92" s="75" t="s">
        <v>15</v>
      </c>
      <c r="B92" s="83">
        <f t="shared" si="78"/>
        <v>0</v>
      </c>
      <c r="C92" s="83">
        <f t="shared" si="78"/>
        <v>0</v>
      </c>
      <c r="D92" s="83">
        <f t="shared" si="78"/>
        <v>0</v>
      </c>
      <c r="E92" s="83">
        <f t="shared" si="78"/>
        <v>0</v>
      </c>
      <c r="F92" s="83">
        <f t="shared" si="78"/>
        <v>0</v>
      </c>
      <c r="G92" s="83">
        <f t="shared" si="78"/>
        <v>0</v>
      </c>
      <c r="H92" s="83">
        <f t="shared" si="78"/>
        <v>0</v>
      </c>
    </row>
    <row r="93" spans="1:8">
      <c r="A93" s="87" t="s">
        <v>16</v>
      </c>
      <c r="B93" s="83">
        <f t="shared" si="78"/>
        <v>0</v>
      </c>
      <c r="C93" s="83">
        <f t="shared" si="78"/>
        <v>0</v>
      </c>
      <c r="D93" s="83">
        <f t="shared" si="78"/>
        <v>0</v>
      </c>
      <c r="E93" s="83">
        <f t="shared" si="78"/>
        <v>0</v>
      </c>
      <c r="F93" s="83">
        <f t="shared" si="78"/>
        <v>0</v>
      </c>
      <c r="G93" s="83">
        <f t="shared" si="78"/>
        <v>0</v>
      </c>
      <c r="H93" s="83">
        <f t="shared" si="78"/>
        <v>0</v>
      </c>
    </row>
    <row r="94" spans="1:8">
      <c r="A94" s="75" t="s">
        <v>40</v>
      </c>
      <c r="B94" s="83">
        <f t="shared" si="78"/>
        <v>0</v>
      </c>
      <c r="C94" s="83">
        <f t="shared" si="78"/>
        <v>0</v>
      </c>
      <c r="D94" s="83">
        <f t="shared" si="78"/>
        <v>0</v>
      </c>
      <c r="E94" s="83">
        <f t="shared" si="78"/>
        <v>0</v>
      </c>
      <c r="F94" s="83">
        <f t="shared" si="78"/>
        <v>0</v>
      </c>
      <c r="G94" s="83">
        <f t="shared" si="78"/>
        <v>0</v>
      </c>
      <c r="H94" s="83">
        <f t="shared" si="78"/>
        <v>0</v>
      </c>
    </row>
    <row r="95" spans="1:8">
      <c r="A95" s="92" t="s">
        <v>50</v>
      </c>
      <c r="B95" s="83">
        <f t="shared" si="78"/>
        <v>0</v>
      </c>
      <c r="C95" s="83">
        <f t="shared" si="78"/>
        <v>0</v>
      </c>
      <c r="D95" s="83">
        <f t="shared" si="78"/>
        <v>0</v>
      </c>
      <c r="E95" s="83">
        <f t="shared" si="78"/>
        <v>0</v>
      </c>
      <c r="F95" s="83">
        <f t="shared" si="78"/>
        <v>0</v>
      </c>
      <c r="G95" s="83">
        <f t="shared" si="78"/>
        <v>0</v>
      </c>
      <c r="H95" s="83">
        <f t="shared" si="78"/>
        <v>0</v>
      </c>
    </row>
    <row r="96" spans="1:8">
      <c r="A96" s="75" t="s">
        <v>44</v>
      </c>
      <c r="B96" s="83">
        <f t="shared" si="78"/>
        <v>0</v>
      </c>
      <c r="C96" s="83">
        <f t="shared" si="78"/>
        <v>0</v>
      </c>
      <c r="D96" s="83">
        <f t="shared" si="78"/>
        <v>0</v>
      </c>
      <c r="E96" s="83">
        <f t="shared" si="78"/>
        <v>0</v>
      </c>
      <c r="F96" s="83">
        <f t="shared" si="78"/>
        <v>0</v>
      </c>
      <c r="G96" s="83">
        <f t="shared" si="78"/>
        <v>0</v>
      </c>
      <c r="H96" s="83">
        <f t="shared" si="78"/>
        <v>0</v>
      </c>
    </row>
    <row r="97" spans="1:8">
      <c r="A97" s="75" t="s">
        <v>21</v>
      </c>
      <c r="B97" s="83">
        <f t="shared" si="78"/>
        <v>0</v>
      </c>
      <c r="C97" s="83">
        <f t="shared" si="78"/>
        <v>0</v>
      </c>
      <c r="D97" s="83">
        <f t="shared" si="78"/>
        <v>0</v>
      </c>
      <c r="E97" s="83">
        <f t="shared" si="78"/>
        <v>0</v>
      </c>
      <c r="F97" s="83">
        <f t="shared" si="78"/>
        <v>0</v>
      </c>
      <c r="G97" s="83">
        <f t="shared" si="78"/>
        <v>0</v>
      </c>
      <c r="H97" s="83">
        <f t="shared" si="78"/>
        <v>0</v>
      </c>
    </row>
    <row r="98" spans="1:8">
      <c r="A98" s="75" t="s">
        <v>51</v>
      </c>
      <c r="B98" s="83">
        <f t="shared" si="78"/>
        <v>0</v>
      </c>
      <c r="C98" s="83">
        <f t="shared" si="78"/>
        <v>0</v>
      </c>
      <c r="D98" s="83">
        <f t="shared" si="78"/>
        <v>0</v>
      </c>
      <c r="E98" s="83">
        <f t="shared" si="78"/>
        <v>0</v>
      </c>
      <c r="F98" s="83">
        <f t="shared" si="78"/>
        <v>0</v>
      </c>
      <c r="G98" s="83">
        <f t="shared" si="78"/>
        <v>0</v>
      </c>
      <c r="H98" s="83">
        <f t="shared" si="78"/>
        <v>0</v>
      </c>
    </row>
    <row r="99" spans="1:8">
      <c r="A99" s="75" t="s">
        <v>12</v>
      </c>
      <c r="B99" s="83">
        <f t="shared" ref="B99:H114" si="79">B25-B62</f>
        <v>0</v>
      </c>
      <c r="C99" s="83">
        <f t="shared" si="79"/>
        <v>0</v>
      </c>
      <c r="D99" s="83">
        <f t="shared" si="79"/>
        <v>0</v>
      </c>
      <c r="E99" s="83">
        <f t="shared" si="79"/>
        <v>0</v>
      </c>
      <c r="F99" s="83">
        <f t="shared" si="79"/>
        <v>0</v>
      </c>
      <c r="G99" s="83">
        <f t="shared" si="79"/>
        <v>0</v>
      </c>
      <c r="H99" s="83">
        <f t="shared" si="79"/>
        <v>0</v>
      </c>
    </row>
    <row r="100" spans="1:8">
      <c r="A100" s="75" t="s">
        <v>23</v>
      </c>
      <c r="B100" s="83">
        <f t="shared" si="79"/>
        <v>0</v>
      </c>
      <c r="C100" s="83">
        <f t="shared" si="79"/>
        <v>0</v>
      </c>
      <c r="D100" s="83">
        <f t="shared" si="79"/>
        <v>0</v>
      </c>
      <c r="E100" s="83">
        <f t="shared" si="79"/>
        <v>0</v>
      </c>
      <c r="F100" s="83">
        <f t="shared" si="79"/>
        <v>0</v>
      </c>
      <c r="G100" s="83">
        <f t="shared" si="79"/>
        <v>0</v>
      </c>
      <c r="H100" s="83">
        <f t="shared" si="79"/>
        <v>0</v>
      </c>
    </row>
    <row r="101" spans="1:8">
      <c r="A101" s="75" t="s">
        <v>45</v>
      </c>
      <c r="B101" s="83">
        <f t="shared" si="79"/>
        <v>0</v>
      </c>
      <c r="C101" s="83">
        <f t="shared" si="79"/>
        <v>0</v>
      </c>
      <c r="D101" s="83">
        <f t="shared" si="79"/>
        <v>0</v>
      </c>
      <c r="E101" s="83">
        <f t="shared" si="79"/>
        <v>0</v>
      </c>
      <c r="F101" s="83">
        <f t="shared" si="79"/>
        <v>0</v>
      </c>
      <c r="G101" s="83">
        <f t="shared" si="79"/>
        <v>0</v>
      </c>
      <c r="H101" s="83">
        <f t="shared" si="79"/>
        <v>0</v>
      </c>
    </row>
    <row r="102" spans="1:8">
      <c r="A102" s="75" t="s">
        <v>12</v>
      </c>
      <c r="B102" s="83">
        <f t="shared" si="79"/>
        <v>0</v>
      </c>
      <c r="C102" s="83">
        <f t="shared" si="79"/>
        <v>0</v>
      </c>
      <c r="D102" s="83">
        <f t="shared" si="79"/>
        <v>0</v>
      </c>
      <c r="E102" s="83">
        <f t="shared" si="79"/>
        <v>0</v>
      </c>
      <c r="F102" s="83">
        <f t="shared" si="79"/>
        <v>0</v>
      </c>
      <c r="G102" s="83">
        <f t="shared" si="79"/>
        <v>0</v>
      </c>
      <c r="H102" s="83">
        <f t="shared" si="79"/>
        <v>0</v>
      </c>
    </row>
    <row r="103" spans="1:8">
      <c r="A103" s="75" t="s">
        <v>25</v>
      </c>
      <c r="B103" s="83">
        <f t="shared" si="79"/>
        <v>0</v>
      </c>
      <c r="C103" s="83">
        <f t="shared" si="79"/>
        <v>0</v>
      </c>
      <c r="D103" s="83">
        <f t="shared" si="79"/>
        <v>0</v>
      </c>
      <c r="E103" s="83">
        <f t="shared" si="79"/>
        <v>0</v>
      </c>
      <c r="F103" s="83">
        <f t="shared" si="79"/>
        <v>0</v>
      </c>
      <c r="G103" s="83">
        <f t="shared" si="79"/>
        <v>0</v>
      </c>
      <c r="H103" s="83">
        <f t="shared" si="79"/>
        <v>0</v>
      </c>
    </row>
    <row r="104" spans="1:8">
      <c r="A104" s="75" t="s">
        <v>46</v>
      </c>
      <c r="B104" s="83">
        <f t="shared" si="79"/>
        <v>0</v>
      </c>
      <c r="C104" s="83">
        <f t="shared" si="79"/>
        <v>0</v>
      </c>
      <c r="D104" s="83">
        <f t="shared" si="79"/>
        <v>0</v>
      </c>
      <c r="E104" s="83">
        <f t="shared" si="79"/>
        <v>0</v>
      </c>
      <c r="F104" s="83">
        <f t="shared" si="79"/>
        <v>0</v>
      </c>
      <c r="G104" s="83">
        <f t="shared" si="79"/>
        <v>0</v>
      </c>
      <c r="H104" s="83">
        <f t="shared" si="79"/>
        <v>0</v>
      </c>
    </row>
    <row r="105" spans="1:8">
      <c r="A105" s="75" t="s">
        <v>12</v>
      </c>
      <c r="B105" s="83">
        <f t="shared" si="79"/>
        <v>0</v>
      </c>
      <c r="C105" s="83">
        <f t="shared" si="79"/>
        <v>0</v>
      </c>
      <c r="D105" s="83">
        <f t="shared" si="79"/>
        <v>0</v>
      </c>
      <c r="E105" s="83">
        <f t="shared" si="79"/>
        <v>0</v>
      </c>
      <c r="F105" s="83">
        <f t="shared" si="79"/>
        <v>0</v>
      </c>
      <c r="G105" s="83">
        <f t="shared" si="79"/>
        <v>0</v>
      </c>
      <c r="H105" s="83">
        <f t="shared" si="79"/>
        <v>0</v>
      </c>
    </row>
    <row r="106" spans="1:8">
      <c r="A106" s="75" t="s">
        <v>27</v>
      </c>
      <c r="B106" s="83">
        <f t="shared" si="79"/>
        <v>0</v>
      </c>
      <c r="C106" s="83">
        <f t="shared" si="79"/>
        <v>0</v>
      </c>
      <c r="D106" s="83">
        <f t="shared" si="79"/>
        <v>0</v>
      </c>
      <c r="E106" s="83">
        <f t="shared" si="79"/>
        <v>0</v>
      </c>
      <c r="F106" s="83">
        <f t="shared" si="79"/>
        <v>0</v>
      </c>
      <c r="G106" s="83">
        <f t="shared" si="79"/>
        <v>0</v>
      </c>
      <c r="H106" s="83">
        <f t="shared" si="79"/>
        <v>0</v>
      </c>
    </row>
    <row r="107" spans="1:8">
      <c r="A107" s="75" t="s">
        <v>47</v>
      </c>
      <c r="B107" s="83">
        <f t="shared" si="79"/>
        <v>0</v>
      </c>
      <c r="C107" s="83">
        <f t="shared" si="79"/>
        <v>0</v>
      </c>
      <c r="D107" s="83">
        <f t="shared" si="79"/>
        <v>0</v>
      </c>
      <c r="E107" s="83">
        <f t="shared" si="79"/>
        <v>0</v>
      </c>
      <c r="F107" s="83">
        <f t="shared" si="79"/>
        <v>0</v>
      </c>
      <c r="G107" s="83">
        <f t="shared" si="79"/>
        <v>0</v>
      </c>
      <c r="H107" s="83">
        <f t="shared" si="79"/>
        <v>0</v>
      </c>
    </row>
    <row r="108" spans="1:8">
      <c r="A108" s="75" t="s">
        <v>12</v>
      </c>
      <c r="B108" s="83" t="e">
        <f t="shared" si="79"/>
        <v>#DIV/0!</v>
      </c>
      <c r="C108" s="83" t="e">
        <f t="shared" si="79"/>
        <v>#DIV/0!</v>
      </c>
      <c r="D108" s="83" t="e">
        <f t="shared" si="79"/>
        <v>#DIV/0!</v>
      </c>
      <c r="E108" s="83" t="e">
        <f t="shared" si="79"/>
        <v>#DIV/0!</v>
      </c>
      <c r="F108" s="83" t="e">
        <f t="shared" si="79"/>
        <v>#DIV/0!</v>
      </c>
      <c r="G108" s="83" t="e">
        <f t="shared" si="79"/>
        <v>#DIV/0!</v>
      </c>
      <c r="H108" s="83" t="e">
        <f t="shared" si="79"/>
        <v>#DIV/0!</v>
      </c>
    </row>
    <row r="109" spans="1:8">
      <c r="A109" s="75" t="s">
        <v>29</v>
      </c>
      <c r="B109" s="83">
        <f t="shared" si="79"/>
        <v>0</v>
      </c>
      <c r="C109" s="83">
        <f t="shared" si="79"/>
        <v>0</v>
      </c>
      <c r="D109" s="83">
        <f t="shared" si="79"/>
        <v>0</v>
      </c>
      <c r="E109" s="83">
        <f t="shared" si="79"/>
        <v>0</v>
      </c>
      <c r="F109" s="83">
        <f t="shared" si="79"/>
        <v>0</v>
      </c>
      <c r="G109" s="83">
        <f t="shared" si="79"/>
        <v>0</v>
      </c>
      <c r="H109" s="83">
        <f t="shared" si="79"/>
        <v>0</v>
      </c>
    </row>
    <row r="110" spans="1:8">
      <c r="A110" s="75" t="s">
        <v>48</v>
      </c>
      <c r="B110" s="83">
        <f t="shared" si="79"/>
        <v>0</v>
      </c>
      <c r="C110" s="83">
        <f t="shared" si="79"/>
        <v>0</v>
      </c>
      <c r="D110" s="83">
        <f t="shared" si="79"/>
        <v>0</v>
      </c>
      <c r="E110" s="83">
        <f t="shared" si="79"/>
        <v>0</v>
      </c>
      <c r="F110" s="83">
        <f t="shared" si="79"/>
        <v>0</v>
      </c>
      <c r="G110" s="83">
        <f t="shared" si="79"/>
        <v>0</v>
      </c>
      <c r="H110" s="83">
        <f t="shared" si="79"/>
        <v>0</v>
      </c>
    </row>
    <row r="111" spans="1:8">
      <c r="A111" s="75" t="s">
        <v>12</v>
      </c>
      <c r="B111" s="83">
        <f t="shared" si="79"/>
        <v>0</v>
      </c>
      <c r="C111" s="83">
        <f t="shared" si="79"/>
        <v>0</v>
      </c>
      <c r="D111" s="83">
        <f t="shared" si="79"/>
        <v>0</v>
      </c>
      <c r="E111" s="83">
        <f t="shared" si="79"/>
        <v>0</v>
      </c>
      <c r="F111" s="83">
        <f t="shared" si="79"/>
        <v>0</v>
      </c>
      <c r="G111" s="83">
        <f t="shared" si="79"/>
        <v>0</v>
      </c>
      <c r="H111" s="83">
        <f t="shared" si="79"/>
        <v>0</v>
      </c>
    </row>
    <row r="112" spans="1:8">
      <c r="A112" s="75" t="s">
        <v>31</v>
      </c>
      <c r="B112" s="83">
        <f t="shared" si="79"/>
        <v>0</v>
      </c>
      <c r="C112" s="83">
        <f t="shared" si="79"/>
        <v>0</v>
      </c>
      <c r="D112" s="83">
        <f t="shared" si="79"/>
        <v>0</v>
      </c>
      <c r="E112" s="83">
        <f t="shared" si="79"/>
        <v>0</v>
      </c>
      <c r="F112" s="83">
        <f t="shared" si="79"/>
        <v>0</v>
      </c>
      <c r="G112" s="83">
        <f t="shared" si="79"/>
        <v>0</v>
      </c>
      <c r="H112" s="83">
        <f t="shared" si="79"/>
        <v>0</v>
      </c>
    </row>
    <row r="113" spans="1:8">
      <c r="A113" s="75" t="s">
        <v>52</v>
      </c>
      <c r="B113" s="83">
        <f t="shared" si="79"/>
        <v>0</v>
      </c>
      <c r="C113" s="83">
        <f t="shared" si="79"/>
        <v>0</v>
      </c>
      <c r="D113" s="83">
        <f t="shared" si="79"/>
        <v>0</v>
      </c>
      <c r="E113" s="83">
        <f t="shared" si="79"/>
        <v>0</v>
      </c>
      <c r="F113" s="83">
        <f t="shared" si="79"/>
        <v>0</v>
      </c>
      <c r="G113" s="83">
        <f t="shared" si="79"/>
        <v>0</v>
      </c>
      <c r="H113" s="83">
        <f t="shared" si="79"/>
        <v>0</v>
      </c>
    </row>
    <row r="114" spans="1:8">
      <c r="A114" s="75" t="s">
        <v>12</v>
      </c>
      <c r="B114" s="83">
        <f t="shared" si="79"/>
        <v>0</v>
      </c>
      <c r="C114" s="83">
        <f t="shared" si="79"/>
        <v>0</v>
      </c>
      <c r="D114" s="83">
        <f t="shared" si="79"/>
        <v>0</v>
      </c>
      <c r="E114" s="83">
        <f t="shared" si="79"/>
        <v>0</v>
      </c>
      <c r="F114" s="83">
        <f t="shared" si="79"/>
        <v>0</v>
      </c>
      <c r="G114" s="83">
        <f t="shared" si="79"/>
        <v>0</v>
      </c>
      <c r="H114" s="83">
        <f t="shared" si="79"/>
        <v>0</v>
      </c>
    </row>
  </sheetData>
  <mergeCells count="1">
    <mergeCell ref="A4:H4"/>
  </mergeCells>
  <phoneticPr fontId="17" type="noConversion"/>
  <pageMargins left="0.16" right="0.16" top="0.27" bottom="0.28000000000000003" header="0.15" footer="0.15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4"/>
  <dimension ref="A1:BC114"/>
  <sheetViews>
    <sheetView zoomScale="70" zoomScaleNormal="70" zoomScaleSheetLayoutView="85" workbookViewId="0">
      <selection activeCell="A9" sqref="A9:AQ40"/>
    </sheetView>
  </sheetViews>
  <sheetFormatPr defaultRowHeight="13.2"/>
  <cols>
    <col min="1" max="1" width="14.33203125" customWidth="1"/>
    <col min="2" max="2" width="7.33203125" customWidth="1"/>
    <col min="3" max="3" width="7.5546875" customWidth="1"/>
    <col min="5" max="5" width="7.109375" customWidth="1"/>
    <col min="6" max="6" width="7.33203125" customWidth="1"/>
    <col min="8" max="8" width="7.109375" customWidth="1"/>
    <col min="9" max="9" width="3.33203125" customWidth="1"/>
    <col min="10" max="10" width="14.5546875" customWidth="1"/>
    <col min="11" max="11" width="7" customWidth="1"/>
    <col min="12" max="12" width="8" customWidth="1"/>
    <col min="14" max="14" width="6.88671875" customWidth="1"/>
    <col min="16" max="16" width="7.33203125" customWidth="1"/>
    <col min="18" max="18" width="15.6640625" customWidth="1"/>
    <col min="19" max="19" width="8.109375" customWidth="1"/>
    <col min="20" max="20" width="7.5546875" customWidth="1"/>
    <col min="22" max="22" width="6.88671875" customWidth="1"/>
    <col min="23" max="23" width="7.109375" customWidth="1"/>
    <col min="25" max="25" width="7.33203125" customWidth="1"/>
    <col min="26" max="26" width="2.88671875" customWidth="1"/>
    <col min="27" max="27" width="15" customWidth="1"/>
    <col min="28" max="28" width="7" customWidth="1"/>
    <col min="29" max="29" width="8" customWidth="1"/>
    <col min="31" max="31" width="7" customWidth="1"/>
    <col min="32" max="33" width="8" customWidth="1"/>
    <col min="34" max="34" width="6.6640625" customWidth="1"/>
    <col min="35" max="35" width="3.88671875" customWidth="1"/>
    <col min="36" max="36" width="15.6640625" customWidth="1"/>
  </cols>
  <sheetData>
    <row r="1" spans="1:55" s="12" customFormat="1" ht="12" customHeight="1">
      <c r="A1" s="388"/>
      <c r="B1" s="476" t="s">
        <v>92</v>
      </c>
      <c r="C1" s="476"/>
      <c r="D1" s="476"/>
      <c r="E1" s="476"/>
      <c r="F1" s="476"/>
      <c r="G1" s="476"/>
      <c r="H1" s="476"/>
    </row>
    <row r="2" spans="1:55" s="12" customFormat="1" ht="12" customHeight="1">
      <c r="A2" s="389"/>
      <c r="B2" s="477" t="s">
        <v>108</v>
      </c>
      <c r="C2" s="477"/>
      <c r="D2" s="477"/>
      <c r="E2" s="477"/>
      <c r="F2" s="477"/>
      <c r="G2" s="477"/>
      <c r="H2" s="477"/>
    </row>
    <row r="3" spans="1:55" s="12" customFormat="1" ht="12" customHeight="1">
      <c r="A3" s="389"/>
      <c r="B3" s="389"/>
      <c r="C3" s="278"/>
      <c r="D3" s="391"/>
      <c r="E3" s="392"/>
      <c r="F3" s="392"/>
      <c r="G3" s="392"/>
      <c r="H3" s="392"/>
    </row>
    <row r="4" spans="1:55" s="12" customFormat="1" ht="15" customHeight="1">
      <c r="A4" s="479" t="s">
        <v>56</v>
      </c>
      <c r="B4" s="479"/>
      <c r="C4" s="479"/>
      <c r="D4" s="479"/>
      <c r="E4" s="479"/>
      <c r="F4" s="479"/>
      <c r="G4" s="479"/>
      <c r="H4" s="479"/>
    </row>
    <row r="5" spans="1:55" ht="12" customHeight="1">
      <c r="A5" s="478" t="s">
        <v>128</v>
      </c>
      <c r="B5" s="478"/>
      <c r="C5" s="478"/>
      <c r="D5" s="478"/>
      <c r="E5" s="478"/>
      <c r="F5" s="478"/>
      <c r="G5" s="478"/>
      <c r="H5" s="478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55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202" customFormat="1">
      <c r="A8" s="469" t="s">
        <v>17</v>
      </c>
      <c r="B8" s="470"/>
      <c r="C8" s="470"/>
      <c r="D8" s="470"/>
      <c r="E8" s="470"/>
      <c r="F8" s="470"/>
      <c r="G8" s="470"/>
      <c r="H8" s="471"/>
      <c r="I8" s="234"/>
      <c r="J8" s="469" t="s">
        <v>17</v>
      </c>
      <c r="K8" s="470"/>
      <c r="L8" s="470"/>
      <c r="M8" s="470"/>
      <c r="N8" s="470"/>
      <c r="O8" s="470"/>
      <c r="P8" s="470"/>
      <c r="Q8" s="471"/>
      <c r="R8" s="469" t="s">
        <v>17</v>
      </c>
      <c r="S8" s="470"/>
      <c r="T8" s="470"/>
      <c r="U8" s="470"/>
      <c r="V8" s="470"/>
      <c r="W8" s="470"/>
      <c r="X8" s="470"/>
      <c r="Y8" s="471"/>
      <c r="Z8" s="234"/>
      <c r="AA8" s="469" t="s">
        <v>17</v>
      </c>
      <c r="AB8" s="470"/>
      <c r="AC8" s="470"/>
      <c r="AD8" s="470"/>
      <c r="AE8" s="470"/>
      <c r="AF8" s="470"/>
      <c r="AG8" s="470"/>
      <c r="AH8" s="471"/>
      <c r="AI8" s="234"/>
      <c r="AJ8" s="469" t="s">
        <v>17</v>
      </c>
      <c r="AK8" s="470"/>
      <c r="AL8" s="470"/>
      <c r="AM8" s="470"/>
      <c r="AN8" s="470"/>
      <c r="AO8" s="470"/>
      <c r="AP8" s="470"/>
      <c r="AQ8" s="471"/>
    </row>
    <row r="9" spans="1:55" s="202" customFormat="1">
      <c r="A9" s="33" t="s">
        <v>18</v>
      </c>
      <c r="B9" s="44">
        <f>B13+B20</f>
        <v>1008.1000000000001</v>
      </c>
      <c r="C9" s="45">
        <f>C13+C20</f>
        <v>45177</v>
      </c>
      <c r="D9" s="46">
        <f>E9+F9+G9+H9</f>
        <v>37493</v>
      </c>
      <c r="E9" s="45">
        <f t="shared" ref="E9:H10" si="0">E13+E20</f>
        <v>4339</v>
      </c>
      <c r="F9" s="45">
        <f t="shared" si="0"/>
        <v>7797</v>
      </c>
      <c r="G9" s="45">
        <f t="shared" si="0"/>
        <v>1478</v>
      </c>
      <c r="H9" s="45">
        <f t="shared" si="0"/>
        <v>23879</v>
      </c>
      <c r="I9" s="115"/>
      <c r="J9" s="33" t="s">
        <v>18</v>
      </c>
      <c r="K9" s="44">
        <f>K13+K20</f>
        <v>498.8</v>
      </c>
      <c r="L9" s="45">
        <f>L13+L20</f>
        <v>19104</v>
      </c>
      <c r="M9" s="46">
        <f>N9+O9+P9+Q9</f>
        <v>15379</v>
      </c>
      <c r="N9" s="45">
        <f t="shared" ref="N9:Q10" si="1">N13+N20</f>
        <v>1182</v>
      </c>
      <c r="O9" s="45">
        <f t="shared" si="1"/>
        <v>3901</v>
      </c>
      <c r="P9" s="45">
        <f t="shared" si="1"/>
        <v>699</v>
      </c>
      <c r="Q9" s="45">
        <f t="shared" si="1"/>
        <v>9597</v>
      </c>
      <c r="R9" s="33" t="s">
        <v>18</v>
      </c>
      <c r="S9" s="44">
        <f>S13+S20</f>
        <v>505.9</v>
      </c>
      <c r="T9" s="45">
        <f>T13+T20</f>
        <v>25319</v>
      </c>
      <c r="U9" s="46">
        <f>V9+W9+X9+Y9</f>
        <v>21520</v>
      </c>
      <c r="V9" s="45">
        <f t="shared" ref="V9:Y10" si="2">V13+V20</f>
        <v>3152</v>
      </c>
      <c r="W9" s="45">
        <f t="shared" si="2"/>
        <v>3734</v>
      </c>
      <c r="X9" s="45">
        <f t="shared" si="2"/>
        <v>738</v>
      </c>
      <c r="Y9" s="45">
        <f t="shared" si="2"/>
        <v>13896</v>
      </c>
      <c r="Z9" s="115"/>
      <c r="AA9" s="33" t="s">
        <v>18</v>
      </c>
      <c r="AB9" s="44">
        <f>AB13+AB20</f>
        <v>152.30000000000001</v>
      </c>
      <c r="AC9" s="45">
        <f>AC13+AC20</f>
        <v>9128</v>
      </c>
      <c r="AD9" s="46">
        <f>AE9+AF9+AG9+AH9</f>
        <v>7647</v>
      </c>
      <c r="AE9" s="45">
        <f t="shared" ref="AE9:AH10" si="3">AE13+AE20</f>
        <v>2582</v>
      </c>
      <c r="AF9" s="45">
        <f t="shared" si="3"/>
        <v>420</v>
      </c>
      <c r="AG9" s="45">
        <f t="shared" si="3"/>
        <v>119</v>
      </c>
      <c r="AH9" s="45">
        <f t="shared" si="3"/>
        <v>4526</v>
      </c>
      <c r="AI9" s="115"/>
      <c r="AJ9" s="33" t="s">
        <v>18</v>
      </c>
      <c r="AK9" s="44">
        <f>AK13+AK20</f>
        <v>3.4000000000000004</v>
      </c>
      <c r="AL9" s="45">
        <f>AL13+AL20</f>
        <v>754</v>
      </c>
      <c r="AM9" s="46">
        <f>AN9+AO9+AP9+AQ9</f>
        <v>594</v>
      </c>
      <c r="AN9" s="45">
        <f t="shared" ref="AN9:AQ10" si="4">AN13+AN20</f>
        <v>5</v>
      </c>
      <c r="AO9" s="45">
        <f t="shared" si="4"/>
        <v>162</v>
      </c>
      <c r="AP9" s="45">
        <f t="shared" si="4"/>
        <v>41</v>
      </c>
      <c r="AQ9" s="45">
        <f t="shared" si="4"/>
        <v>386</v>
      </c>
    </row>
    <row r="10" spans="1:55" s="202" customFormat="1">
      <c r="A10" s="7" t="s">
        <v>19</v>
      </c>
      <c r="B10" s="42">
        <f>B14+B21</f>
        <v>1032.5</v>
      </c>
      <c r="C10" s="36">
        <f>C14+C21</f>
        <v>46684</v>
      </c>
      <c r="D10" s="36">
        <f>E10+F10+G10+H10</f>
        <v>39834</v>
      </c>
      <c r="E10" s="36">
        <f t="shared" si="0"/>
        <v>3598</v>
      </c>
      <c r="F10" s="36">
        <f t="shared" si="0"/>
        <v>6708</v>
      </c>
      <c r="G10" s="36">
        <f t="shared" si="0"/>
        <v>410</v>
      </c>
      <c r="H10" s="36">
        <f t="shared" si="0"/>
        <v>29118</v>
      </c>
      <c r="I10" s="115"/>
      <c r="J10" s="7" t="s">
        <v>19</v>
      </c>
      <c r="K10" s="42">
        <f>K14+K21</f>
        <v>571.9</v>
      </c>
      <c r="L10" s="36">
        <f>L14+L21</f>
        <v>24435</v>
      </c>
      <c r="M10" s="36">
        <f>N10+O10+P10+Q10</f>
        <v>20676</v>
      </c>
      <c r="N10" s="36">
        <f t="shared" si="1"/>
        <v>2222</v>
      </c>
      <c r="O10" s="36">
        <f t="shared" si="1"/>
        <v>4533</v>
      </c>
      <c r="P10" s="36">
        <f t="shared" si="1"/>
        <v>261</v>
      </c>
      <c r="Q10" s="36">
        <f t="shared" si="1"/>
        <v>13660</v>
      </c>
      <c r="R10" s="7" t="s">
        <v>19</v>
      </c>
      <c r="S10" s="42">
        <f>S14+S21</f>
        <v>447.90000000000003</v>
      </c>
      <c r="T10" s="36">
        <f>T14+T21</f>
        <v>21255</v>
      </c>
      <c r="U10" s="36">
        <f>V10+W10+X10+Y10</f>
        <v>18303</v>
      </c>
      <c r="V10" s="36">
        <f t="shared" si="2"/>
        <v>1350</v>
      </c>
      <c r="W10" s="36">
        <f t="shared" si="2"/>
        <v>2170</v>
      </c>
      <c r="X10" s="36">
        <f t="shared" si="2"/>
        <v>145</v>
      </c>
      <c r="Y10" s="36">
        <f t="shared" si="2"/>
        <v>14638</v>
      </c>
      <c r="Z10" s="115"/>
      <c r="AA10" s="7" t="s">
        <v>19</v>
      </c>
      <c r="AB10" s="42">
        <f>AB14+AB21</f>
        <v>97.3</v>
      </c>
      <c r="AC10" s="36">
        <f>AC14+AC21</f>
        <v>3840</v>
      </c>
      <c r="AD10" s="36">
        <f>AE10+AF10+AG10+AH10</f>
        <v>3319</v>
      </c>
      <c r="AE10" s="36">
        <f t="shared" si="3"/>
        <v>789</v>
      </c>
      <c r="AF10" s="36">
        <f t="shared" si="3"/>
        <v>213</v>
      </c>
      <c r="AG10" s="36">
        <f t="shared" si="3"/>
        <v>43</v>
      </c>
      <c r="AH10" s="36">
        <f t="shared" si="3"/>
        <v>2274</v>
      </c>
      <c r="AI10" s="115"/>
      <c r="AJ10" s="7" t="s">
        <v>19</v>
      </c>
      <c r="AK10" s="42">
        <f>AK14+AK21</f>
        <v>12.7</v>
      </c>
      <c r="AL10" s="36">
        <f>AL14+AL21</f>
        <v>994</v>
      </c>
      <c r="AM10" s="36">
        <f>AN10+AO10+AP10+AQ10</f>
        <v>855</v>
      </c>
      <c r="AN10" s="36">
        <f t="shared" si="4"/>
        <v>26</v>
      </c>
      <c r="AO10" s="36">
        <f t="shared" si="4"/>
        <v>5</v>
      </c>
      <c r="AP10" s="36">
        <f t="shared" si="4"/>
        <v>4</v>
      </c>
      <c r="AQ10" s="36">
        <f t="shared" si="4"/>
        <v>820</v>
      </c>
    </row>
    <row r="11" spans="1:55" s="202" customFormat="1">
      <c r="A11" s="33" t="s">
        <v>20</v>
      </c>
      <c r="B11" s="36">
        <f t="shared" ref="B11:H11" si="5">B10/B9*100</f>
        <v>102.42039480210295</v>
      </c>
      <c r="C11" s="36">
        <f t="shared" si="5"/>
        <v>103.33576820063305</v>
      </c>
      <c r="D11" s="36">
        <f t="shared" si="5"/>
        <v>106.24383218200731</v>
      </c>
      <c r="E11" s="36">
        <f t="shared" si="5"/>
        <v>82.922332334639322</v>
      </c>
      <c r="F11" s="36">
        <f t="shared" si="5"/>
        <v>86.033089649865332</v>
      </c>
      <c r="G11" s="36">
        <f t="shared" si="5"/>
        <v>27.740189445196211</v>
      </c>
      <c r="H11" s="36">
        <f t="shared" si="5"/>
        <v>121.93977972276898</v>
      </c>
      <c r="I11" s="115"/>
      <c r="J11" s="33" t="s">
        <v>20</v>
      </c>
      <c r="K11" s="36">
        <f>K10/K9*100</f>
        <v>114.65517241379311</v>
      </c>
      <c r="L11" s="36">
        <f t="shared" ref="L11:Q11" si="6">L10/L9*100</f>
        <v>127.90515075376885</v>
      </c>
      <c r="M11" s="36">
        <f t="shared" si="6"/>
        <v>134.44307172117823</v>
      </c>
      <c r="N11" s="36">
        <f t="shared" si="6"/>
        <v>187.9864636209814</v>
      </c>
      <c r="O11" s="36">
        <f t="shared" si="6"/>
        <v>116.20097410920276</v>
      </c>
      <c r="P11" s="36">
        <f t="shared" si="6"/>
        <v>37.339055793991413</v>
      </c>
      <c r="Q11" s="36">
        <f t="shared" si="6"/>
        <v>142.33614671251433</v>
      </c>
      <c r="R11" s="33" t="s">
        <v>20</v>
      </c>
      <c r="S11" s="36">
        <f t="shared" ref="S11:Y11" si="7">S10/S9*100</f>
        <v>88.535283652895842</v>
      </c>
      <c r="T11" s="36">
        <f t="shared" si="7"/>
        <v>83.948813144279001</v>
      </c>
      <c r="U11" s="36">
        <f t="shared" si="7"/>
        <v>85.051115241635685</v>
      </c>
      <c r="V11" s="36">
        <f t="shared" si="7"/>
        <v>42.829949238578678</v>
      </c>
      <c r="W11" s="36">
        <f t="shared" si="7"/>
        <v>58.114622388859125</v>
      </c>
      <c r="X11" s="36">
        <f t="shared" si="7"/>
        <v>19.647696476964768</v>
      </c>
      <c r="Y11" s="36">
        <f t="shared" si="7"/>
        <v>105.33966609096143</v>
      </c>
      <c r="Z11" s="115"/>
      <c r="AA11" s="33" t="s">
        <v>20</v>
      </c>
      <c r="AB11" s="36">
        <f t="shared" ref="AB11:AH11" si="8">AB10/AB9*100</f>
        <v>63.887065003282984</v>
      </c>
      <c r="AC11" s="36">
        <f t="shared" si="8"/>
        <v>42.068361086765989</v>
      </c>
      <c r="AD11" s="36">
        <f t="shared" si="8"/>
        <v>43.40264155878122</v>
      </c>
      <c r="AE11" s="36">
        <f t="shared" si="8"/>
        <v>30.557707203718049</v>
      </c>
      <c r="AF11" s="36">
        <f t="shared" si="8"/>
        <v>50.714285714285708</v>
      </c>
      <c r="AG11" s="36">
        <f t="shared" si="8"/>
        <v>36.134453781512605</v>
      </c>
      <c r="AH11" s="36">
        <f t="shared" si="8"/>
        <v>50.243040212107829</v>
      </c>
      <c r="AI11" s="115"/>
      <c r="AJ11" s="33" t="s">
        <v>20</v>
      </c>
      <c r="AK11" s="36">
        <f t="shared" ref="AK11:AQ11" si="9">AK10/AK9*100</f>
        <v>373.52941176470586</v>
      </c>
      <c r="AL11" s="36">
        <f t="shared" si="9"/>
        <v>131.83023872679044</v>
      </c>
      <c r="AM11" s="36">
        <f t="shared" si="9"/>
        <v>143.93939393939394</v>
      </c>
      <c r="AN11" s="36">
        <f t="shared" si="9"/>
        <v>520</v>
      </c>
      <c r="AO11" s="36">
        <f t="shared" si="9"/>
        <v>3.0864197530864197</v>
      </c>
      <c r="AP11" s="36">
        <f t="shared" si="9"/>
        <v>9.7560975609756095</v>
      </c>
      <c r="AQ11" s="36">
        <f t="shared" si="9"/>
        <v>212.43523316062175</v>
      </c>
    </row>
    <row r="12" spans="1:55" s="202" customFormat="1" ht="12.75" customHeight="1">
      <c r="A12" s="461" t="s">
        <v>11</v>
      </c>
      <c r="B12" s="462"/>
      <c r="C12" s="462"/>
      <c r="D12" s="462"/>
      <c r="E12" s="462"/>
      <c r="F12" s="462"/>
      <c r="G12" s="462"/>
      <c r="H12" s="463"/>
      <c r="I12" s="201"/>
      <c r="J12" s="461" t="s">
        <v>11</v>
      </c>
      <c r="K12" s="462"/>
      <c r="L12" s="462"/>
      <c r="M12" s="462"/>
      <c r="N12" s="462"/>
      <c r="O12" s="462"/>
      <c r="P12" s="462"/>
      <c r="Q12" s="463"/>
      <c r="R12" s="461" t="s">
        <v>11</v>
      </c>
      <c r="S12" s="462"/>
      <c r="T12" s="462"/>
      <c r="U12" s="462"/>
      <c r="V12" s="462"/>
      <c r="W12" s="462"/>
      <c r="X12" s="462"/>
      <c r="Y12" s="463"/>
      <c r="Z12" s="201"/>
      <c r="AA12" s="461" t="s">
        <v>11</v>
      </c>
      <c r="AB12" s="462"/>
      <c r="AC12" s="462"/>
      <c r="AD12" s="462"/>
      <c r="AE12" s="462"/>
      <c r="AF12" s="462"/>
      <c r="AG12" s="462"/>
      <c r="AH12" s="463"/>
      <c r="AI12" s="201"/>
      <c r="AJ12" s="461" t="s">
        <v>11</v>
      </c>
      <c r="AK12" s="462"/>
      <c r="AL12" s="462"/>
      <c r="AM12" s="462"/>
      <c r="AN12" s="462"/>
      <c r="AO12" s="462"/>
      <c r="AP12" s="462"/>
      <c r="AQ12" s="463"/>
    </row>
    <row r="13" spans="1:55" s="203" customFormat="1">
      <c r="A13" s="248" t="s">
        <v>18</v>
      </c>
      <c r="B13" s="47">
        <f t="shared" ref="B13:H14" si="10">K13+S13+AK13</f>
        <v>97</v>
      </c>
      <c r="C13" s="29">
        <f t="shared" si="10"/>
        <v>5152</v>
      </c>
      <c r="D13" s="29">
        <f t="shared" si="10"/>
        <v>3862</v>
      </c>
      <c r="E13" s="29">
        <f t="shared" si="10"/>
        <v>1209</v>
      </c>
      <c r="F13" s="29">
        <f t="shared" si="10"/>
        <v>1614</v>
      </c>
      <c r="G13" s="29">
        <f t="shared" si="10"/>
        <v>210</v>
      </c>
      <c r="H13" s="29">
        <f t="shared" si="10"/>
        <v>829</v>
      </c>
      <c r="I13" s="201"/>
      <c r="J13" s="248" t="s">
        <v>18</v>
      </c>
      <c r="K13" s="15">
        <v>83.2</v>
      </c>
      <c r="L13" s="16">
        <v>4109</v>
      </c>
      <c r="M13" s="16">
        <f>N13+O13+P13+Q13</f>
        <v>3024</v>
      </c>
      <c r="N13" s="16">
        <v>682</v>
      </c>
      <c r="O13" s="16">
        <v>1533</v>
      </c>
      <c r="P13" s="16">
        <v>193</v>
      </c>
      <c r="Q13" s="16">
        <v>616</v>
      </c>
      <c r="R13" s="248" t="s">
        <v>18</v>
      </c>
      <c r="S13" s="434">
        <v>13.6</v>
      </c>
      <c r="T13" s="435">
        <v>965</v>
      </c>
      <c r="U13" s="435">
        <f>V13+W13+X13+Y13</f>
        <v>785</v>
      </c>
      <c r="V13" s="435">
        <v>526</v>
      </c>
      <c r="W13" s="435">
        <v>45</v>
      </c>
      <c r="X13" s="435">
        <v>11</v>
      </c>
      <c r="Y13" s="435">
        <v>203</v>
      </c>
      <c r="Z13" s="201"/>
      <c r="AA13" s="248" t="s">
        <v>18</v>
      </c>
      <c r="AB13" s="15">
        <v>13.6</v>
      </c>
      <c r="AC13" s="16">
        <v>837</v>
      </c>
      <c r="AD13" s="16">
        <f>AE13+AF13+AG13+AH13</f>
        <v>679</v>
      </c>
      <c r="AE13" s="16">
        <v>456</v>
      </c>
      <c r="AF13" s="16">
        <v>39</v>
      </c>
      <c r="AG13" s="16">
        <v>10</v>
      </c>
      <c r="AH13" s="16">
        <v>174</v>
      </c>
      <c r="AI13" s="201"/>
      <c r="AJ13" s="248" t="s">
        <v>18</v>
      </c>
      <c r="AK13" s="15">
        <v>0.2</v>
      </c>
      <c r="AL13" s="16">
        <v>78</v>
      </c>
      <c r="AM13" s="16">
        <f>AN13+AO13+AP13+AQ13</f>
        <v>53</v>
      </c>
      <c r="AN13" s="16">
        <v>1</v>
      </c>
      <c r="AO13" s="16">
        <v>36</v>
      </c>
      <c r="AP13" s="16">
        <v>6</v>
      </c>
      <c r="AQ13" s="16">
        <v>10</v>
      </c>
    </row>
    <row r="14" spans="1:55" s="202" customFormat="1">
      <c r="A14" s="18" t="s">
        <v>19</v>
      </c>
      <c r="B14" s="27">
        <f t="shared" si="10"/>
        <v>157.89999999999998</v>
      </c>
      <c r="C14" s="26">
        <f t="shared" si="10"/>
        <v>6494</v>
      </c>
      <c r="D14" s="26">
        <f t="shared" si="10"/>
        <v>5113</v>
      </c>
      <c r="E14" s="26">
        <f t="shared" si="10"/>
        <v>710</v>
      </c>
      <c r="F14" s="26">
        <f t="shared" si="10"/>
        <v>2025</v>
      </c>
      <c r="G14" s="26">
        <f t="shared" si="10"/>
        <v>124</v>
      </c>
      <c r="H14" s="26">
        <f t="shared" si="10"/>
        <v>2254</v>
      </c>
      <c r="I14" s="201"/>
      <c r="J14" s="18" t="s">
        <v>19</v>
      </c>
      <c r="K14" s="6">
        <f>108.6+34.3</f>
        <v>142.89999999999998</v>
      </c>
      <c r="L14" s="6">
        <f>4728+1144</f>
        <v>5872</v>
      </c>
      <c r="M14" s="26">
        <f>N14+O14+P14+Q14</f>
        <v>4626</v>
      </c>
      <c r="N14" s="6">
        <f>427+128</f>
        <v>555</v>
      </c>
      <c r="O14" s="6">
        <f>1617+373</f>
        <v>1990</v>
      </c>
      <c r="P14" s="6">
        <f>121+3</f>
        <v>124</v>
      </c>
      <c r="Q14" s="6">
        <f>1551+406</f>
        <v>1957</v>
      </c>
      <c r="R14" s="18" t="s">
        <v>19</v>
      </c>
      <c r="S14" s="6">
        <f>8.2</f>
        <v>8.1999999999999993</v>
      </c>
      <c r="T14" s="6">
        <f>300</f>
        <v>300</v>
      </c>
      <c r="U14" s="379">
        <f>V14+W14+X14+Y14</f>
        <v>239</v>
      </c>
      <c r="V14" s="6">
        <f>155</f>
        <v>155</v>
      </c>
      <c r="W14" s="6">
        <f>35</f>
        <v>35</v>
      </c>
      <c r="X14" s="6"/>
      <c r="Y14" s="6">
        <f>49</f>
        <v>49</v>
      </c>
      <c r="Z14" s="201"/>
      <c r="AA14" s="18" t="s">
        <v>19</v>
      </c>
      <c r="AB14" s="6">
        <f>8.2</f>
        <v>8.1999999999999993</v>
      </c>
      <c r="AC14" s="6">
        <f>300</f>
        <v>300</v>
      </c>
      <c r="AD14" s="26">
        <f>AE14+AF14+AG14+AH14</f>
        <v>239</v>
      </c>
      <c r="AE14" s="6">
        <f>155</f>
        <v>155</v>
      </c>
      <c r="AF14" s="6">
        <f>35</f>
        <v>35</v>
      </c>
      <c r="AG14" s="6"/>
      <c r="AH14" s="6">
        <f>49</f>
        <v>49</v>
      </c>
      <c r="AI14" s="201"/>
      <c r="AJ14" s="18" t="s">
        <v>19</v>
      </c>
      <c r="AK14" s="6">
        <f>6.8</f>
        <v>6.8</v>
      </c>
      <c r="AL14" s="6">
        <f>322</f>
        <v>322</v>
      </c>
      <c r="AM14" s="9">
        <f>AN14+AO14+AP14+AQ14</f>
        <v>248</v>
      </c>
      <c r="AN14" s="6"/>
      <c r="AO14" s="6"/>
      <c r="AP14" s="6"/>
      <c r="AQ14" s="6">
        <f>248</f>
        <v>248</v>
      </c>
    </row>
    <row r="15" spans="1:55" s="203" customFormat="1">
      <c r="A15" s="248" t="s">
        <v>20</v>
      </c>
      <c r="B15" s="9">
        <f t="shared" ref="B15:H15" si="11">B14/B13*100</f>
        <v>162.78350515463916</v>
      </c>
      <c r="C15" s="9">
        <f t="shared" si="11"/>
        <v>126.04813664596273</v>
      </c>
      <c r="D15" s="9">
        <f t="shared" si="11"/>
        <v>132.39254272397721</v>
      </c>
      <c r="E15" s="9">
        <f t="shared" si="11"/>
        <v>58.726220016542598</v>
      </c>
      <c r="F15" s="9">
        <f t="shared" si="11"/>
        <v>125.4646840148699</v>
      </c>
      <c r="G15" s="9">
        <f t="shared" si="11"/>
        <v>59.047619047619051</v>
      </c>
      <c r="H15" s="9">
        <f t="shared" si="11"/>
        <v>271.89384800965018</v>
      </c>
      <c r="I15" s="201"/>
      <c r="J15" s="248" t="s">
        <v>20</v>
      </c>
      <c r="K15" s="9">
        <f t="shared" ref="K15:Q15" si="12">K14/K13*100</f>
        <v>171.75480769230768</v>
      </c>
      <c r="L15" s="9">
        <f t="shared" si="12"/>
        <v>142.90581650036503</v>
      </c>
      <c r="M15" s="9">
        <f t="shared" si="12"/>
        <v>152.97619047619045</v>
      </c>
      <c r="N15" s="9">
        <f t="shared" si="12"/>
        <v>81.378299120234615</v>
      </c>
      <c r="O15" s="9">
        <f t="shared" si="12"/>
        <v>129.81082844096542</v>
      </c>
      <c r="P15" s="9">
        <f t="shared" si="12"/>
        <v>64.248704663212436</v>
      </c>
      <c r="Q15" s="9">
        <f t="shared" si="12"/>
        <v>317.69480519480521</v>
      </c>
      <c r="R15" s="248" t="s">
        <v>20</v>
      </c>
      <c r="S15" s="9">
        <f t="shared" ref="S15:Y15" si="13">S14/S13*100</f>
        <v>60.294117647058819</v>
      </c>
      <c r="T15" s="9">
        <f t="shared" si="13"/>
        <v>31.088082901554404</v>
      </c>
      <c r="U15" s="9">
        <f t="shared" si="13"/>
        <v>30.445859872611464</v>
      </c>
      <c r="V15" s="9">
        <f t="shared" si="13"/>
        <v>29.467680608365022</v>
      </c>
      <c r="W15" s="9">
        <f t="shared" si="13"/>
        <v>77.777777777777786</v>
      </c>
      <c r="X15" s="9">
        <f t="shared" si="13"/>
        <v>0</v>
      </c>
      <c r="Y15" s="9">
        <f t="shared" si="13"/>
        <v>24.137931034482758</v>
      </c>
      <c r="Z15" s="201"/>
      <c r="AA15" s="248" t="s">
        <v>20</v>
      </c>
      <c r="AB15" s="9">
        <f t="shared" ref="AB15:AH15" si="14">AB14/AB13*100</f>
        <v>60.294117647058819</v>
      </c>
      <c r="AC15" s="9">
        <f t="shared" si="14"/>
        <v>35.842293906810035</v>
      </c>
      <c r="AD15" s="9">
        <f t="shared" si="14"/>
        <v>35.198821796759944</v>
      </c>
      <c r="AE15" s="9">
        <f t="shared" si="14"/>
        <v>33.991228070175438</v>
      </c>
      <c r="AF15" s="9">
        <f t="shared" si="14"/>
        <v>89.743589743589752</v>
      </c>
      <c r="AG15" s="9">
        <f t="shared" si="14"/>
        <v>0</v>
      </c>
      <c r="AH15" s="9">
        <f t="shared" si="14"/>
        <v>28.160919540229884</v>
      </c>
      <c r="AI15" s="201"/>
      <c r="AJ15" s="248" t="s">
        <v>20</v>
      </c>
      <c r="AK15" s="9">
        <f t="shared" ref="AK15:AQ15" si="15">AK14/AK13*100</f>
        <v>3400</v>
      </c>
      <c r="AL15" s="9">
        <f t="shared" si="15"/>
        <v>412.82051282051287</v>
      </c>
      <c r="AM15" s="9">
        <f t="shared" si="15"/>
        <v>467.92452830188677</v>
      </c>
      <c r="AN15" s="9">
        <f t="shared" si="15"/>
        <v>0</v>
      </c>
      <c r="AO15" s="9">
        <f t="shared" si="15"/>
        <v>0</v>
      </c>
      <c r="AP15" s="9">
        <f t="shared" si="15"/>
        <v>0</v>
      </c>
      <c r="AQ15" s="9">
        <f t="shared" si="15"/>
        <v>2480</v>
      </c>
    </row>
    <row r="16" spans="1:55" s="203" customFormat="1">
      <c r="A16" s="6" t="s">
        <v>13</v>
      </c>
      <c r="B16" s="27">
        <f t="shared" ref="B16:H17" si="16">K16+S16+AK16</f>
        <v>119.9</v>
      </c>
      <c r="C16" s="26">
        <f t="shared" si="16"/>
        <v>4841</v>
      </c>
      <c r="D16" s="26">
        <f t="shared" si="16"/>
        <v>3748</v>
      </c>
      <c r="E16" s="26">
        <f t="shared" si="16"/>
        <v>419</v>
      </c>
      <c r="F16" s="26">
        <f t="shared" si="16"/>
        <v>1744</v>
      </c>
      <c r="G16" s="26">
        <f t="shared" si="16"/>
        <v>113</v>
      </c>
      <c r="H16" s="26">
        <f t="shared" si="16"/>
        <v>1472</v>
      </c>
      <c r="I16" s="201"/>
      <c r="J16" s="6" t="s">
        <v>13</v>
      </c>
      <c r="K16" s="27">
        <f>85.9+26.4</f>
        <v>112.30000000000001</v>
      </c>
      <c r="L16" s="6">
        <f>3647+792</f>
        <v>4439</v>
      </c>
      <c r="M16" s="26">
        <f>N16+O16+P16+Q16</f>
        <v>3437</v>
      </c>
      <c r="N16" s="6">
        <f>297+72</f>
        <v>369</v>
      </c>
      <c r="O16" s="6">
        <f>1443+292</f>
        <v>1735</v>
      </c>
      <c r="P16" s="6">
        <f>112+1</f>
        <v>113</v>
      </c>
      <c r="Q16" s="6">
        <f>961+259</f>
        <v>1220</v>
      </c>
      <c r="R16" s="6" t="s">
        <v>13</v>
      </c>
      <c r="S16" s="6">
        <f>2.5</f>
        <v>2.5</v>
      </c>
      <c r="T16" s="6">
        <f>82</f>
        <v>82</v>
      </c>
      <c r="U16" s="379">
        <f>V16+W16+X16+Y16</f>
        <v>65</v>
      </c>
      <c r="V16" s="6">
        <f>50</f>
        <v>50</v>
      </c>
      <c r="W16" s="6">
        <f>9</f>
        <v>9</v>
      </c>
      <c r="X16" s="6"/>
      <c r="Y16" s="6">
        <f>6</f>
        <v>6</v>
      </c>
      <c r="Z16" s="201"/>
      <c r="AA16" s="6" t="s">
        <v>13</v>
      </c>
      <c r="AB16" s="6">
        <f>2.5</f>
        <v>2.5</v>
      </c>
      <c r="AC16" s="6">
        <f>82</f>
        <v>82</v>
      </c>
      <c r="AD16" s="26">
        <f>AE16+AF16+AG16+AH16</f>
        <v>65</v>
      </c>
      <c r="AE16" s="6">
        <f>50</f>
        <v>50</v>
      </c>
      <c r="AF16" s="6">
        <f>9</f>
        <v>9</v>
      </c>
      <c r="AG16" s="6"/>
      <c r="AH16" s="6">
        <f>6</f>
        <v>6</v>
      </c>
      <c r="AI16" s="201"/>
      <c r="AJ16" s="6" t="s">
        <v>13</v>
      </c>
      <c r="AK16" s="6">
        <f>5.1</f>
        <v>5.0999999999999996</v>
      </c>
      <c r="AL16" s="6">
        <f>320</f>
        <v>320</v>
      </c>
      <c r="AM16" s="9">
        <f>AN16+AO16+AP16+AQ16</f>
        <v>246</v>
      </c>
      <c r="AN16" s="6"/>
      <c r="AO16" s="6"/>
      <c r="AP16" s="6"/>
      <c r="AQ16" s="6">
        <f>246</f>
        <v>246</v>
      </c>
    </row>
    <row r="17" spans="1:43" s="203" customFormat="1">
      <c r="A17" s="6" t="s">
        <v>14</v>
      </c>
      <c r="B17" s="27">
        <f t="shared" si="16"/>
        <v>1</v>
      </c>
      <c r="C17" s="26">
        <f t="shared" si="16"/>
        <v>61</v>
      </c>
      <c r="D17" s="26">
        <f t="shared" si="16"/>
        <v>53</v>
      </c>
      <c r="E17" s="26">
        <f t="shared" si="16"/>
        <v>5</v>
      </c>
      <c r="F17" s="26">
        <f t="shared" si="16"/>
        <v>12</v>
      </c>
      <c r="G17" s="26">
        <f t="shared" si="16"/>
        <v>1</v>
      </c>
      <c r="H17" s="26">
        <f t="shared" si="16"/>
        <v>35</v>
      </c>
      <c r="I17" s="201"/>
      <c r="J17" s="6" t="s">
        <v>14</v>
      </c>
      <c r="K17" s="27">
        <f>1</f>
        <v>1</v>
      </c>
      <c r="L17" s="6">
        <f>61</f>
        <v>61</v>
      </c>
      <c r="M17" s="26">
        <f>N17+O17+P17+Q17</f>
        <v>53</v>
      </c>
      <c r="N17" s="6">
        <f>5</f>
        <v>5</v>
      </c>
      <c r="O17" s="6">
        <f>12</f>
        <v>12</v>
      </c>
      <c r="P17" s="6">
        <f>1</f>
        <v>1</v>
      </c>
      <c r="Q17" s="6">
        <f>35</f>
        <v>35</v>
      </c>
      <c r="R17" s="6" t="s">
        <v>14</v>
      </c>
      <c r="S17" s="6"/>
      <c r="T17" s="6"/>
      <c r="U17" s="379">
        <f>V17+W17+X17+Y17</f>
        <v>0</v>
      </c>
      <c r="V17" s="6"/>
      <c r="W17" s="6"/>
      <c r="X17" s="6"/>
      <c r="Y17" s="6"/>
      <c r="Z17" s="201"/>
      <c r="AA17" s="6" t="s">
        <v>14</v>
      </c>
      <c r="AB17" s="6"/>
      <c r="AC17" s="6"/>
      <c r="AD17" s="26">
        <f>AE17+AF17+AG17+AH17</f>
        <v>0</v>
      </c>
      <c r="AE17" s="6"/>
      <c r="AF17" s="6"/>
      <c r="AG17" s="6"/>
      <c r="AH17" s="6"/>
      <c r="AI17" s="201"/>
      <c r="AJ17" s="6" t="s">
        <v>14</v>
      </c>
      <c r="AK17" s="6"/>
      <c r="AL17" s="6"/>
      <c r="AM17" s="9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/>
      <c r="C18" s="6"/>
      <c r="D18" s="6"/>
      <c r="E18" s="6"/>
      <c r="F18" s="6"/>
      <c r="G18" s="6"/>
      <c r="H18" s="6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379">
        <f>V18+W18+X18+Y18</f>
        <v>0</v>
      </c>
      <c r="V18" s="6"/>
      <c r="W18" s="6"/>
      <c r="X18" s="6"/>
      <c r="Y18" s="6"/>
      <c r="AA18" s="6" t="s">
        <v>15</v>
      </c>
      <c r="AB18" s="6"/>
      <c r="AC18" s="6"/>
      <c r="AD18" s="26">
        <f>AE18+AF18+AG18+AH18</f>
        <v>0</v>
      </c>
      <c r="AE18" s="6"/>
      <c r="AF18" s="6"/>
      <c r="AG18" s="6"/>
      <c r="AH18" s="6"/>
      <c r="AJ18" s="6" t="s">
        <v>15</v>
      </c>
      <c r="AK18" s="6"/>
      <c r="AL18" s="6"/>
      <c r="AM18" s="9">
        <f>AN18+AO18+AP18+AQ18</f>
        <v>0</v>
      </c>
      <c r="AN18" s="6"/>
      <c r="AO18" s="6"/>
      <c r="AP18" s="6"/>
      <c r="AQ18" s="6"/>
    </row>
    <row r="19" spans="1:43" s="202" customFormat="1" ht="12.75" customHeight="1">
      <c r="A19" s="461" t="s">
        <v>16</v>
      </c>
      <c r="B19" s="462"/>
      <c r="C19" s="462"/>
      <c r="D19" s="462"/>
      <c r="E19" s="462"/>
      <c r="F19" s="462"/>
      <c r="G19" s="462"/>
      <c r="H19" s="463"/>
      <c r="I19"/>
      <c r="J19" s="461" t="s">
        <v>16</v>
      </c>
      <c r="K19" s="462"/>
      <c r="L19" s="462"/>
      <c r="M19" s="462"/>
      <c r="N19" s="462"/>
      <c r="O19" s="462"/>
      <c r="P19" s="462"/>
      <c r="Q19" s="463"/>
      <c r="R19" s="461" t="s">
        <v>16</v>
      </c>
      <c r="S19" s="462"/>
      <c r="T19" s="462"/>
      <c r="U19" s="462"/>
      <c r="V19" s="462"/>
      <c r="W19" s="462"/>
      <c r="X19" s="462"/>
      <c r="Y19" s="463"/>
      <c r="Z19"/>
      <c r="AA19" s="461" t="s">
        <v>16</v>
      </c>
      <c r="AB19" s="462"/>
      <c r="AC19" s="462"/>
      <c r="AD19" s="462"/>
      <c r="AE19" s="462"/>
      <c r="AF19" s="462"/>
      <c r="AG19" s="462"/>
      <c r="AH19" s="463"/>
      <c r="AI19"/>
      <c r="AJ19" s="461" t="s">
        <v>16</v>
      </c>
      <c r="AK19" s="462"/>
      <c r="AL19" s="462"/>
      <c r="AM19" s="462"/>
      <c r="AN19" s="462"/>
      <c r="AO19" s="462"/>
      <c r="AP19" s="462"/>
      <c r="AQ19" s="463"/>
    </row>
    <row r="20" spans="1:43">
      <c r="A20" s="248" t="s">
        <v>18</v>
      </c>
      <c r="B20" s="47">
        <f>B23+B26+B29+B32+B35+B38</f>
        <v>911.10000000000014</v>
      </c>
      <c r="C20" s="29">
        <f>C23+C26+C29+C32+C35+C38</f>
        <v>40025</v>
      </c>
      <c r="D20" s="29">
        <f>E20+F20+G20+H20</f>
        <v>33631</v>
      </c>
      <c r="E20" s="29">
        <f t="shared" ref="E20:H21" si="17">E23+E26+E29+E32+E35+E38</f>
        <v>3130</v>
      </c>
      <c r="F20" s="29">
        <f t="shared" si="17"/>
        <v>6183</v>
      </c>
      <c r="G20" s="29">
        <f t="shared" si="17"/>
        <v>1268</v>
      </c>
      <c r="H20" s="29">
        <f t="shared" si="17"/>
        <v>23050</v>
      </c>
      <c r="J20" s="248" t="s">
        <v>18</v>
      </c>
      <c r="K20" s="47">
        <f>K23+K26+K29+K32+K35+K38</f>
        <v>415.6</v>
      </c>
      <c r="L20" s="29">
        <f>L23+L26+L29+L32+L35+L38</f>
        <v>14995</v>
      </c>
      <c r="M20" s="29">
        <f>N20+O20+P20+Q20</f>
        <v>12355</v>
      </c>
      <c r="N20" s="29">
        <f t="shared" ref="N20:Q21" si="18">N23+N26+N29+N32+N35+N38</f>
        <v>500</v>
      </c>
      <c r="O20" s="29">
        <f t="shared" si="18"/>
        <v>2368</v>
      </c>
      <c r="P20" s="29">
        <f t="shared" si="18"/>
        <v>506</v>
      </c>
      <c r="Q20" s="29">
        <f t="shared" si="18"/>
        <v>8981</v>
      </c>
      <c r="R20" s="248" t="s">
        <v>18</v>
      </c>
      <c r="S20" s="48">
        <f>S23+S26+S29+S32+S35+S38</f>
        <v>492.29999999999995</v>
      </c>
      <c r="T20" s="49">
        <f>T23+T26+T29+T32+T35+T38</f>
        <v>24354</v>
      </c>
      <c r="U20" s="49">
        <f>V20+W20+X20+Y20</f>
        <v>20735</v>
      </c>
      <c r="V20" s="49">
        <f t="shared" ref="V20:Y21" si="19">V23+V26+V29+V32+V35+V38</f>
        <v>2626</v>
      </c>
      <c r="W20" s="49">
        <f t="shared" si="19"/>
        <v>3689</v>
      </c>
      <c r="X20" s="49">
        <f t="shared" si="19"/>
        <v>727</v>
      </c>
      <c r="Y20" s="49">
        <f t="shared" si="19"/>
        <v>13693</v>
      </c>
      <c r="AA20" s="248" t="s">
        <v>18</v>
      </c>
      <c r="AB20" s="47">
        <f>AB23+AB26+AB29+AB32+AB35+AB38</f>
        <v>138.70000000000002</v>
      </c>
      <c r="AC20" s="29">
        <f>AC23+AC26+AC29+AC32+AC35+AC38</f>
        <v>8291</v>
      </c>
      <c r="AD20" s="29">
        <f>AE20+AF20+AG20+AH20</f>
        <v>6968</v>
      </c>
      <c r="AE20" s="29">
        <f t="shared" ref="AE20:AH21" si="20">AE23+AE26+AE29+AE32+AE35+AE38</f>
        <v>2126</v>
      </c>
      <c r="AF20" s="29">
        <f t="shared" si="20"/>
        <v>381</v>
      </c>
      <c r="AG20" s="29">
        <f t="shared" si="20"/>
        <v>109</v>
      </c>
      <c r="AH20" s="29">
        <f t="shared" si="20"/>
        <v>4352</v>
      </c>
      <c r="AJ20" s="248" t="s">
        <v>18</v>
      </c>
      <c r="AK20" s="47">
        <f>AK23+AK26+AK29+AK32+AK35+AK38</f>
        <v>3.2</v>
      </c>
      <c r="AL20" s="29">
        <f>AL23+AL26+AL29+AL32+AL35+AL38</f>
        <v>676</v>
      </c>
      <c r="AM20" s="29">
        <f>AN20+AO20+AP20+AQ20</f>
        <v>541</v>
      </c>
      <c r="AN20" s="29">
        <f t="shared" ref="AN20:AQ21" si="21">AN23+AN26+AN29+AN32+AN35+AN38</f>
        <v>4</v>
      </c>
      <c r="AO20" s="29">
        <f t="shared" si="21"/>
        <v>126</v>
      </c>
      <c r="AP20" s="29">
        <f t="shared" si="21"/>
        <v>35</v>
      </c>
      <c r="AQ20" s="29">
        <f t="shared" si="21"/>
        <v>376</v>
      </c>
    </row>
    <row r="21" spans="1:43" s="202" customFormat="1">
      <c r="A21" s="18" t="s">
        <v>19</v>
      </c>
      <c r="B21" s="27">
        <f>B24+B27+B30+B33+B36+B39</f>
        <v>874.6</v>
      </c>
      <c r="C21" s="26">
        <f>C24+C27+C30+C33+C36+C39</f>
        <v>40190</v>
      </c>
      <c r="D21" s="26">
        <f>E21+F21+G21+H21</f>
        <v>34721</v>
      </c>
      <c r="E21" s="26">
        <f t="shared" si="17"/>
        <v>2888</v>
      </c>
      <c r="F21" s="26">
        <f t="shared" si="17"/>
        <v>4683</v>
      </c>
      <c r="G21" s="26">
        <f t="shared" si="17"/>
        <v>286</v>
      </c>
      <c r="H21" s="26">
        <f t="shared" si="17"/>
        <v>26864</v>
      </c>
      <c r="I21" s="201"/>
      <c r="J21" s="18" t="s">
        <v>19</v>
      </c>
      <c r="K21" s="27">
        <f>K24+K27+K30+K33+K36+K39</f>
        <v>429</v>
      </c>
      <c r="L21" s="26">
        <f>L24+L27+L30+L33+L36+L39</f>
        <v>18563</v>
      </c>
      <c r="M21" s="26">
        <f>N21+O21+P21+Q21</f>
        <v>16050</v>
      </c>
      <c r="N21" s="26">
        <f t="shared" si="18"/>
        <v>1667</v>
      </c>
      <c r="O21" s="26">
        <f t="shared" si="18"/>
        <v>2543</v>
      </c>
      <c r="P21" s="26">
        <f t="shared" si="18"/>
        <v>137</v>
      </c>
      <c r="Q21" s="26">
        <f t="shared" si="18"/>
        <v>11703</v>
      </c>
      <c r="R21" s="18" t="s">
        <v>19</v>
      </c>
      <c r="S21" s="27">
        <f>S24+S27+S30+S33+S36+S39</f>
        <v>439.70000000000005</v>
      </c>
      <c r="T21" s="26">
        <f>T24+T27+T30+T33+T36+T39</f>
        <v>20955</v>
      </c>
      <c r="U21" s="26">
        <f>V21+W21+X21+Y21</f>
        <v>18064</v>
      </c>
      <c r="V21" s="26">
        <f t="shared" si="19"/>
        <v>1195</v>
      </c>
      <c r="W21" s="26">
        <f t="shared" si="19"/>
        <v>2135</v>
      </c>
      <c r="X21" s="26">
        <f t="shared" si="19"/>
        <v>145</v>
      </c>
      <c r="Y21" s="26">
        <f t="shared" si="19"/>
        <v>14589</v>
      </c>
      <c r="Z21" s="201"/>
      <c r="AA21" s="18" t="s">
        <v>19</v>
      </c>
      <c r="AB21" s="27">
        <f>AB24+AB27+AB30+AB33+AB36+AB39</f>
        <v>89.1</v>
      </c>
      <c r="AC21" s="26">
        <f>AC24+AC27+AC30+AC33+AC36+AC39</f>
        <v>3540</v>
      </c>
      <c r="AD21" s="26">
        <f>AE21+AF21+AG21+AH21</f>
        <v>3080</v>
      </c>
      <c r="AE21" s="26">
        <f t="shared" si="20"/>
        <v>634</v>
      </c>
      <c r="AF21" s="26">
        <f t="shared" si="20"/>
        <v>178</v>
      </c>
      <c r="AG21" s="26">
        <f t="shared" si="20"/>
        <v>43</v>
      </c>
      <c r="AH21" s="26">
        <f t="shared" si="20"/>
        <v>2225</v>
      </c>
      <c r="AI21" s="201"/>
      <c r="AJ21" s="18" t="s">
        <v>19</v>
      </c>
      <c r="AK21" s="27">
        <f>AK24+AK27+AK30+AK33+AK36+AK39</f>
        <v>5.9</v>
      </c>
      <c r="AL21" s="26">
        <f>AL24+AL27+AL30+AL33+AL36+AL39</f>
        <v>672</v>
      </c>
      <c r="AM21" s="26">
        <f>AN21+AO21+AP21+AQ21</f>
        <v>607</v>
      </c>
      <c r="AN21" s="26">
        <f t="shared" si="21"/>
        <v>26</v>
      </c>
      <c r="AO21" s="26">
        <f t="shared" si="21"/>
        <v>5</v>
      </c>
      <c r="AP21" s="26">
        <f t="shared" si="21"/>
        <v>4</v>
      </c>
      <c r="AQ21" s="26">
        <f t="shared" si="21"/>
        <v>572</v>
      </c>
    </row>
    <row r="22" spans="1:43">
      <c r="A22" s="248" t="s">
        <v>20</v>
      </c>
      <c r="B22" s="9">
        <f t="shared" ref="B22:H22" si="22">B21/B20*100</f>
        <v>95.993853583580275</v>
      </c>
      <c r="C22" s="9">
        <f t="shared" si="22"/>
        <v>100.41224234853216</v>
      </c>
      <c r="D22" s="9">
        <f t="shared" si="22"/>
        <v>103.2410573577949</v>
      </c>
      <c r="E22" s="9">
        <f t="shared" si="22"/>
        <v>92.268370607028743</v>
      </c>
      <c r="F22" s="9">
        <f t="shared" si="22"/>
        <v>75.739932071809804</v>
      </c>
      <c r="G22" s="9">
        <f t="shared" si="22"/>
        <v>22.555205047318612</v>
      </c>
      <c r="H22" s="9">
        <f t="shared" si="22"/>
        <v>116.54663774403471</v>
      </c>
      <c r="J22" s="248" t="s">
        <v>20</v>
      </c>
      <c r="K22" s="9">
        <f t="shared" ref="K22:Q22" si="23">K21/K20*100</f>
        <v>103.2242540904716</v>
      </c>
      <c r="L22" s="9">
        <f t="shared" si="23"/>
        <v>123.7945981993998</v>
      </c>
      <c r="M22" s="9">
        <f t="shared" si="23"/>
        <v>129.90692027519225</v>
      </c>
      <c r="N22" s="9">
        <f t="shared" si="23"/>
        <v>333.40000000000003</v>
      </c>
      <c r="O22" s="9">
        <f t="shared" si="23"/>
        <v>107.39020270270269</v>
      </c>
      <c r="P22" s="9">
        <f t="shared" si="23"/>
        <v>27.07509881422925</v>
      </c>
      <c r="Q22" s="9">
        <f t="shared" si="23"/>
        <v>130.30842890546711</v>
      </c>
      <c r="R22" s="248" t="s">
        <v>20</v>
      </c>
      <c r="S22" s="9">
        <f t="shared" ref="S22:Y22" si="24">S21/S20*100</f>
        <v>89.315458054032121</v>
      </c>
      <c r="T22" s="9">
        <f t="shared" si="24"/>
        <v>86.043360433604335</v>
      </c>
      <c r="U22" s="9">
        <f t="shared" si="24"/>
        <v>87.118398842536777</v>
      </c>
      <c r="V22" s="9">
        <f t="shared" si="24"/>
        <v>45.506473724295503</v>
      </c>
      <c r="W22" s="9">
        <f t="shared" si="24"/>
        <v>57.874762808349146</v>
      </c>
      <c r="X22" s="9">
        <f t="shared" si="24"/>
        <v>19.944979367262725</v>
      </c>
      <c r="Y22" s="9">
        <f t="shared" si="24"/>
        <v>106.54348937413276</v>
      </c>
      <c r="AA22" s="248" t="s">
        <v>20</v>
      </c>
      <c r="AB22" s="9">
        <f t="shared" ref="AB22:AH22" si="25">AB21/AB20*100</f>
        <v>64.239365537130482</v>
      </c>
      <c r="AC22" s="9">
        <f t="shared" si="25"/>
        <v>42.696900253286699</v>
      </c>
      <c r="AD22" s="9">
        <f t="shared" si="25"/>
        <v>44.202066590126293</v>
      </c>
      <c r="AE22" s="9">
        <f t="shared" si="25"/>
        <v>29.82126058325494</v>
      </c>
      <c r="AF22" s="9">
        <f t="shared" si="25"/>
        <v>46.719160104986877</v>
      </c>
      <c r="AG22" s="9">
        <f t="shared" si="25"/>
        <v>39.449541284403672</v>
      </c>
      <c r="AH22" s="9">
        <f t="shared" si="25"/>
        <v>51.125919117647058</v>
      </c>
      <c r="AJ22" s="248" t="s">
        <v>20</v>
      </c>
      <c r="AK22" s="9">
        <f>AK21/AK20*100</f>
        <v>184.375</v>
      </c>
      <c r="AL22" s="9">
        <f>AL21/AL20*100</f>
        <v>99.408284023668642</v>
      </c>
      <c r="AM22" s="9">
        <f>AM21/AM20*100</f>
        <v>112.19963031423291</v>
      </c>
      <c r="AN22" s="9"/>
      <c r="AO22" s="9">
        <f>AO21/AO20*100</f>
        <v>3.9682539682539679</v>
      </c>
      <c r="AP22" s="9">
        <f>AP21/AP20*100</f>
        <v>11.428571428571429</v>
      </c>
      <c r="AQ22" s="9">
        <f>AQ21/AQ20*100</f>
        <v>152.12765957446808</v>
      </c>
    </row>
    <row r="23" spans="1:43">
      <c r="A23" s="6" t="s">
        <v>21</v>
      </c>
      <c r="B23" s="47">
        <f t="shared" ref="B23:H24" si="26">K23+S23+AK23</f>
        <v>418.4</v>
      </c>
      <c r="C23" s="29">
        <f t="shared" si="26"/>
        <v>15000</v>
      </c>
      <c r="D23" s="29">
        <f t="shared" si="26"/>
        <v>12391</v>
      </c>
      <c r="E23" s="29">
        <f t="shared" si="26"/>
        <v>2051</v>
      </c>
      <c r="F23" s="29">
        <f t="shared" si="26"/>
        <v>1593</v>
      </c>
      <c r="G23" s="29">
        <f t="shared" si="26"/>
        <v>345</v>
      </c>
      <c r="H23" s="29">
        <f t="shared" si="26"/>
        <v>8402</v>
      </c>
      <c r="J23" s="6" t="s">
        <v>21</v>
      </c>
      <c r="K23" s="15">
        <v>268</v>
      </c>
      <c r="L23" s="16">
        <v>6839</v>
      </c>
      <c r="M23" s="16">
        <f>N23+O23+P23+Q23</f>
        <v>5581</v>
      </c>
      <c r="N23" s="16">
        <v>296</v>
      </c>
      <c r="O23" s="16">
        <v>875</v>
      </c>
      <c r="P23" s="16">
        <v>192</v>
      </c>
      <c r="Q23" s="16">
        <v>4218</v>
      </c>
      <c r="R23" s="6" t="s">
        <v>21</v>
      </c>
      <c r="S23" s="48">
        <v>148</v>
      </c>
      <c r="T23" s="50">
        <v>7681</v>
      </c>
      <c r="U23" s="50">
        <f>V23+W23+X23+Y23</f>
        <v>6427</v>
      </c>
      <c r="V23" s="50">
        <v>1753</v>
      </c>
      <c r="W23" s="50">
        <v>614</v>
      </c>
      <c r="X23" s="50">
        <v>125</v>
      </c>
      <c r="Y23" s="50">
        <v>3935</v>
      </c>
      <c r="AA23" s="6" t="s">
        <v>21</v>
      </c>
      <c r="AB23" s="15">
        <v>96.4</v>
      </c>
      <c r="AC23" s="16">
        <v>5795</v>
      </c>
      <c r="AD23" s="16">
        <f>AE23+AF23+AG23+AH23</f>
        <v>4875</v>
      </c>
      <c r="AE23" s="16">
        <v>1566</v>
      </c>
      <c r="AF23" s="16">
        <v>233</v>
      </c>
      <c r="AG23" s="16">
        <v>78</v>
      </c>
      <c r="AH23" s="16">
        <v>2998</v>
      </c>
      <c r="AJ23" s="6" t="s">
        <v>21</v>
      </c>
      <c r="AK23" s="15">
        <v>2.4</v>
      </c>
      <c r="AL23" s="16">
        <v>480</v>
      </c>
      <c r="AM23" s="16">
        <f>AN23+AO23+AP23+AQ23</f>
        <v>383</v>
      </c>
      <c r="AN23" s="16">
        <v>2</v>
      </c>
      <c r="AO23" s="16">
        <v>104</v>
      </c>
      <c r="AP23" s="16">
        <v>28</v>
      </c>
      <c r="AQ23" s="16">
        <v>249</v>
      </c>
    </row>
    <row r="24" spans="1:43">
      <c r="A24" s="6" t="s">
        <v>22</v>
      </c>
      <c r="B24" s="27">
        <f t="shared" si="26"/>
        <v>280.89999999999998</v>
      </c>
      <c r="C24" s="26">
        <f t="shared" si="26"/>
        <v>12036</v>
      </c>
      <c r="D24" s="26">
        <f t="shared" si="26"/>
        <v>10416</v>
      </c>
      <c r="E24" s="26">
        <f t="shared" si="26"/>
        <v>1236</v>
      </c>
      <c r="F24" s="26">
        <f t="shared" si="26"/>
        <v>1741</v>
      </c>
      <c r="G24" s="26">
        <f t="shared" si="26"/>
        <v>142</v>
      </c>
      <c r="H24" s="26">
        <f t="shared" si="26"/>
        <v>7297</v>
      </c>
      <c r="J24" s="6" t="s">
        <v>22</v>
      </c>
      <c r="K24" s="8">
        <f>141.5+62.5</f>
        <v>204</v>
      </c>
      <c r="L24" s="9">
        <f>5613+3062</f>
        <v>8675</v>
      </c>
      <c r="M24" s="9">
        <f>N24+O24+P24+Q24</f>
        <v>7504</v>
      </c>
      <c r="N24" s="9">
        <f>340+290</f>
        <v>630</v>
      </c>
      <c r="O24" s="9">
        <f>999+486</f>
        <v>1485</v>
      </c>
      <c r="P24" s="9">
        <f>72+21</f>
        <v>93</v>
      </c>
      <c r="Q24" s="9">
        <f>3432+1864</f>
        <v>5296</v>
      </c>
      <c r="R24" s="6" t="s">
        <v>22</v>
      </c>
      <c r="S24" s="30">
        <f>72.5+0.4</f>
        <v>72.900000000000006</v>
      </c>
      <c r="T24" s="30">
        <f>3111+6</f>
        <v>3117</v>
      </c>
      <c r="U24" s="30">
        <f>V24+W24+X24+Y24</f>
        <v>2700</v>
      </c>
      <c r="V24" s="30">
        <f>589</f>
        <v>589</v>
      </c>
      <c r="W24" s="30">
        <f>253</f>
        <v>253</v>
      </c>
      <c r="X24" s="30">
        <f>49</f>
        <v>49</v>
      </c>
      <c r="Y24" s="30">
        <f>1803+6</f>
        <v>1809</v>
      </c>
      <c r="AA24" s="6" t="s">
        <v>22</v>
      </c>
      <c r="AB24" s="27">
        <f>51.9</f>
        <v>51.9</v>
      </c>
      <c r="AC24" s="6">
        <f>2170</f>
        <v>2170</v>
      </c>
      <c r="AD24" s="9">
        <f>AE24+AF24+AG24+AH24</f>
        <v>1903</v>
      </c>
      <c r="AE24" s="6">
        <f>537</f>
        <v>537</v>
      </c>
      <c r="AF24" s="6">
        <f>123</f>
        <v>123</v>
      </c>
      <c r="AG24" s="6">
        <f>24</f>
        <v>24</v>
      </c>
      <c r="AH24" s="6">
        <f>1219</f>
        <v>1219</v>
      </c>
      <c r="AJ24" s="6" t="s">
        <v>22</v>
      </c>
      <c r="AK24" s="27">
        <f>4</f>
        <v>4</v>
      </c>
      <c r="AL24" s="6">
        <f>244</f>
        <v>244</v>
      </c>
      <c r="AM24" s="9">
        <f>AN24+AO24+AP24+AQ24</f>
        <v>212</v>
      </c>
      <c r="AN24" s="6">
        <f>17</f>
        <v>17</v>
      </c>
      <c r="AO24" s="6">
        <f>3</f>
        <v>3</v>
      </c>
      <c r="AP24" s="6"/>
      <c r="AQ24" s="6">
        <f>192</f>
        <v>192</v>
      </c>
    </row>
    <row r="25" spans="1:43">
      <c r="A25" s="6" t="s">
        <v>12</v>
      </c>
      <c r="B25" s="9">
        <f t="shared" ref="B25:H25" si="27">B24/B23*100</f>
        <v>67.136711281070745</v>
      </c>
      <c r="C25" s="9">
        <f t="shared" si="27"/>
        <v>80.239999999999995</v>
      </c>
      <c r="D25" s="9">
        <f t="shared" si="27"/>
        <v>84.061012024856751</v>
      </c>
      <c r="E25" s="9">
        <f t="shared" si="27"/>
        <v>60.26328620185275</v>
      </c>
      <c r="F25" s="9">
        <f t="shared" si="27"/>
        <v>109.29064657878217</v>
      </c>
      <c r="G25" s="9">
        <f t="shared" si="27"/>
        <v>41.159420289855071</v>
      </c>
      <c r="H25" s="9">
        <f t="shared" si="27"/>
        <v>86.84836943584861</v>
      </c>
      <c r="J25" s="6" t="s">
        <v>12</v>
      </c>
      <c r="K25" s="9">
        <f t="shared" ref="K25:Q25" si="28">K24/K23*100</f>
        <v>76.119402985074629</v>
      </c>
      <c r="L25" s="9">
        <f t="shared" si="28"/>
        <v>126.84603012136277</v>
      </c>
      <c r="M25" s="9">
        <f t="shared" si="28"/>
        <v>134.45619064683748</v>
      </c>
      <c r="N25" s="9">
        <f t="shared" si="28"/>
        <v>212.83783783783784</v>
      </c>
      <c r="O25" s="9">
        <f t="shared" si="28"/>
        <v>169.71428571428569</v>
      </c>
      <c r="P25" s="9">
        <f t="shared" si="28"/>
        <v>48.4375</v>
      </c>
      <c r="Q25" s="9">
        <f t="shared" si="28"/>
        <v>125.55713608345187</v>
      </c>
      <c r="R25" s="6" t="s">
        <v>12</v>
      </c>
      <c r="S25" s="9">
        <f t="shared" ref="S25:Y25" si="29">S24/S23*100</f>
        <v>49.256756756756758</v>
      </c>
      <c r="T25" s="9">
        <f t="shared" si="29"/>
        <v>40.580653560734284</v>
      </c>
      <c r="U25" s="9">
        <f t="shared" si="29"/>
        <v>42.010269176909908</v>
      </c>
      <c r="V25" s="9">
        <f t="shared" si="29"/>
        <v>33.599543639475186</v>
      </c>
      <c r="W25" s="9">
        <f t="shared" si="29"/>
        <v>41.20521172638437</v>
      </c>
      <c r="X25" s="9">
        <f t="shared" si="29"/>
        <v>39.200000000000003</v>
      </c>
      <c r="Y25" s="9">
        <f t="shared" si="29"/>
        <v>45.972045743329097</v>
      </c>
      <c r="AA25" s="6" t="s">
        <v>12</v>
      </c>
      <c r="AB25" s="9">
        <f t="shared" ref="AB25:AH25" si="30">AB24/AB23*100</f>
        <v>53.838174273858918</v>
      </c>
      <c r="AC25" s="9">
        <f t="shared" si="30"/>
        <v>37.446074201898192</v>
      </c>
      <c r="AD25" s="9">
        <f t="shared" si="30"/>
        <v>39.035897435897439</v>
      </c>
      <c r="AE25" s="9">
        <f t="shared" si="30"/>
        <v>34.291187739463602</v>
      </c>
      <c r="AF25" s="9">
        <f t="shared" si="30"/>
        <v>52.789699570815451</v>
      </c>
      <c r="AG25" s="9">
        <f t="shared" si="30"/>
        <v>30.76923076923077</v>
      </c>
      <c r="AH25" s="9">
        <f t="shared" si="30"/>
        <v>40.660440293529021</v>
      </c>
      <c r="AJ25" s="6" t="s">
        <v>12</v>
      </c>
      <c r="AK25" s="9">
        <f>AK24/AK23*100</f>
        <v>166.66666666666669</v>
      </c>
      <c r="AL25" s="9">
        <f>AL24/AL23*100</f>
        <v>50.833333333333329</v>
      </c>
      <c r="AM25" s="9">
        <f>AM24/AM23*100</f>
        <v>55.35248041775457</v>
      </c>
      <c r="AN25" s="9"/>
      <c r="AO25" s="9">
        <f>AO24/AO23*100</f>
        <v>2.8846153846153846</v>
      </c>
      <c r="AP25" s="9"/>
      <c r="AQ25" s="9">
        <f>AQ24/AQ23*100</f>
        <v>77.108433734939766</v>
      </c>
    </row>
    <row r="26" spans="1:43">
      <c r="A26" s="6" t="s">
        <v>23</v>
      </c>
      <c r="B26" s="47">
        <f t="shared" ref="B26:H27" si="31">K26+S26+AK26</f>
        <v>102.80000000000001</v>
      </c>
      <c r="C26" s="29">
        <f t="shared" si="31"/>
        <v>6510</v>
      </c>
      <c r="D26" s="29">
        <f t="shared" si="31"/>
        <v>5694</v>
      </c>
      <c r="E26" s="29">
        <f t="shared" si="31"/>
        <v>284</v>
      </c>
      <c r="F26" s="29">
        <f t="shared" si="31"/>
        <v>1133</v>
      </c>
      <c r="G26" s="29">
        <f t="shared" si="31"/>
        <v>156</v>
      </c>
      <c r="H26" s="29">
        <f t="shared" si="31"/>
        <v>4121</v>
      </c>
      <c r="J26" s="6" t="s">
        <v>23</v>
      </c>
      <c r="K26" s="15">
        <v>16.100000000000001</v>
      </c>
      <c r="L26" s="16">
        <v>1431</v>
      </c>
      <c r="M26" s="16">
        <f>N26+O26+P26+Q26</f>
        <v>1266</v>
      </c>
      <c r="N26" s="16">
        <v>21</v>
      </c>
      <c r="O26" s="16">
        <v>267</v>
      </c>
      <c r="P26" s="16">
        <v>41</v>
      </c>
      <c r="Q26" s="16">
        <v>937</v>
      </c>
      <c r="R26" s="6" t="s">
        <v>23</v>
      </c>
      <c r="S26" s="50">
        <v>86.7</v>
      </c>
      <c r="T26" s="50">
        <v>5064</v>
      </c>
      <c r="U26" s="50">
        <f>V26+W26+X26+Y26</f>
        <v>4413</v>
      </c>
      <c r="V26" s="50">
        <v>263</v>
      </c>
      <c r="W26" s="50">
        <v>862</v>
      </c>
      <c r="X26" s="50">
        <v>115</v>
      </c>
      <c r="Y26" s="50">
        <v>3173</v>
      </c>
      <c r="AA26" s="6" t="s">
        <v>23</v>
      </c>
      <c r="AB26" s="15">
        <v>22.4</v>
      </c>
      <c r="AC26" s="16">
        <v>945</v>
      </c>
      <c r="AD26" s="16">
        <f>AE26+AF26+AG26+AH26</f>
        <v>799</v>
      </c>
      <c r="AE26" s="16">
        <v>243</v>
      </c>
      <c r="AF26" s="16">
        <v>43</v>
      </c>
      <c r="AG26" s="16">
        <v>10</v>
      </c>
      <c r="AH26" s="16">
        <v>503</v>
      </c>
      <c r="AJ26" s="6" t="s">
        <v>23</v>
      </c>
      <c r="AK26" s="15"/>
      <c r="AL26" s="16">
        <v>15</v>
      </c>
      <c r="AM26" s="16">
        <f>AN26+AO26+AP26+AQ26</f>
        <v>15</v>
      </c>
      <c r="AN26" s="16"/>
      <c r="AO26" s="16">
        <v>4</v>
      </c>
      <c r="AP26" s="16"/>
      <c r="AQ26" s="16">
        <v>11</v>
      </c>
    </row>
    <row r="27" spans="1:43">
      <c r="A27" s="6" t="s">
        <v>24</v>
      </c>
      <c r="B27" s="27">
        <f t="shared" si="31"/>
        <v>174.7</v>
      </c>
      <c r="C27" s="26">
        <f t="shared" si="31"/>
        <v>6941</v>
      </c>
      <c r="D27" s="26">
        <f t="shared" si="31"/>
        <v>5962</v>
      </c>
      <c r="E27" s="26">
        <f t="shared" si="31"/>
        <v>246</v>
      </c>
      <c r="F27" s="26">
        <f t="shared" si="31"/>
        <v>1030</v>
      </c>
      <c r="G27" s="26">
        <f t="shared" si="31"/>
        <v>45</v>
      </c>
      <c r="H27" s="26">
        <f t="shared" si="31"/>
        <v>4641</v>
      </c>
      <c r="J27" s="6" t="s">
        <v>24</v>
      </c>
      <c r="K27" s="8">
        <f>26.4+10.1</f>
        <v>36.5</v>
      </c>
      <c r="L27" s="9">
        <f>666+272</f>
        <v>938</v>
      </c>
      <c r="M27" s="9">
        <f>N27+O27+P27+Q27</f>
        <v>824</v>
      </c>
      <c r="N27" s="9">
        <f>28+24</f>
        <v>52</v>
      </c>
      <c r="O27" s="9">
        <f>90+5</f>
        <v>95</v>
      </c>
      <c r="P27" s="9">
        <f>13+3</f>
        <v>16</v>
      </c>
      <c r="Q27" s="9">
        <f>456+205</f>
        <v>661</v>
      </c>
      <c r="R27" s="6" t="s">
        <v>24</v>
      </c>
      <c r="S27" s="24">
        <f>120.5+17.7</f>
        <v>138.19999999999999</v>
      </c>
      <c r="T27" s="30">
        <f>5223+773</f>
        <v>5996</v>
      </c>
      <c r="U27" s="30">
        <f>V27+W27+X27+Y27</f>
        <v>5132</v>
      </c>
      <c r="V27" s="30">
        <f>179+14</f>
        <v>193</v>
      </c>
      <c r="W27" s="30">
        <f>774+161</f>
        <v>935</v>
      </c>
      <c r="X27" s="30">
        <f>29</f>
        <v>29</v>
      </c>
      <c r="Y27" s="30">
        <f>3477+498</f>
        <v>3975</v>
      </c>
      <c r="AA27" s="6" t="s">
        <v>24</v>
      </c>
      <c r="AB27" s="6">
        <f>26.7</f>
        <v>26.7</v>
      </c>
      <c r="AC27" s="6">
        <f>990</f>
        <v>990</v>
      </c>
      <c r="AD27" s="9">
        <f>AE27+AF27+AG27+AH27</f>
        <v>839</v>
      </c>
      <c r="AE27" s="6">
        <f>85</f>
        <v>85</v>
      </c>
      <c r="AF27" s="6">
        <f>55</f>
        <v>55</v>
      </c>
      <c r="AG27" s="6">
        <f>19</f>
        <v>19</v>
      </c>
      <c r="AH27" s="6">
        <f>680</f>
        <v>680</v>
      </c>
      <c r="AJ27" s="6" t="s">
        <v>24</v>
      </c>
      <c r="AK27" s="6"/>
      <c r="AL27" s="6">
        <f>7</f>
        <v>7</v>
      </c>
      <c r="AM27" s="9">
        <f>AN27+AO27+AP27+AQ27</f>
        <v>6</v>
      </c>
      <c r="AN27" s="6">
        <f>1</f>
        <v>1</v>
      </c>
      <c r="AO27" s="6"/>
      <c r="AP27" s="6"/>
      <c r="AQ27" s="6">
        <f>5</f>
        <v>5</v>
      </c>
    </row>
    <row r="28" spans="1:43">
      <c r="A28" s="6" t="s">
        <v>12</v>
      </c>
      <c r="B28" s="9">
        <f t="shared" ref="B28:H28" si="32">B27/B26*100</f>
        <v>169.94163424124511</v>
      </c>
      <c r="C28" s="9">
        <f t="shared" si="32"/>
        <v>106.62058371735792</v>
      </c>
      <c r="D28" s="9">
        <f t="shared" si="32"/>
        <v>104.70670881629786</v>
      </c>
      <c r="E28" s="9">
        <f t="shared" si="32"/>
        <v>86.619718309859152</v>
      </c>
      <c r="F28" s="9">
        <f t="shared" si="32"/>
        <v>90.909090909090907</v>
      </c>
      <c r="G28" s="9">
        <f t="shared" si="32"/>
        <v>28.846153846153843</v>
      </c>
      <c r="H28" s="9">
        <f t="shared" si="32"/>
        <v>112.61829652996846</v>
      </c>
      <c r="J28" s="6" t="s">
        <v>12</v>
      </c>
      <c r="K28" s="9">
        <f t="shared" ref="K28:Q28" si="33">K27/K26*100</f>
        <v>226.70807453416145</v>
      </c>
      <c r="L28" s="9">
        <f t="shared" si="33"/>
        <v>65.548567435359885</v>
      </c>
      <c r="M28" s="9">
        <f t="shared" si="33"/>
        <v>65.086887835702996</v>
      </c>
      <c r="N28" s="9">
        <f t="shared" si="33"/>
        <v>247.61904761904762</v>
      </c>
      <c r="O28" s="9">
        <f t="shared" si="33"/>
        <v>35.580524344569284</v>
      </c>
      <c r="P28" s="9">
        <f t="shared" si="33"/>
        <v>39.024390243902438</v>
      </c>
      <c r="Q28" s="9">
        <f t="shared" si="33"/>
        <v>70.544290288153675</v>
      </c>
      <c r="R28" s="6" t="s">
        <v>12</v>
      </c>
      <c r="S28" s="9">
        <f t="shared" ref="S28:Y28" si="34">S27/S26*100</f>
        <v>159.40023068050749</v>
      </c>
      <c r="T28" s="9">
        <f t="shared" si="34"/>
        <v>118.4044233807267</v>
      </c>
      <c r="U28" s="9">
        <f t="shared" si="34"/>
        <v>116.29277135735327</v>
      </c>
      <c r="V28" s="9">
        <f t="shared" si="34"/>
        <v>73.384030418250944</v>
      </c>
      <c r="W28" s="9">
        <f t="shared" si="34"/>
        <v>108.46867749419953</v>
      </c>
      <c r="X28" s="9">
        <f t="shared" si="34"/>
        <v>25.217391304347824</v>
      </c>
      <c r="Y28" s="9">
        <f t="shared" si="34"/>
        <v>125.27576426095177</v>
      </c>
      <c r="AA28" s="6" t="s">
        <v>12</v>
      </c>
      <c r="AB28" s="9">
        <f t="shared" ref="AB28:AH28" si="35">AB27/AB26*100</f>
        <v>119.19642857142858</v>
      </c>
      <c r="AC28" s="9">
        <f t="shared" si="35"/>
        <v>104.76190476190477</v>
      </c>
      <c r="AD28" s="9">
        <f t="shared" si="35"/>
        <v>105.00625782227783</v>
      </c>
      <c r="AE28" s="9">
        <f t="shared" si="35"/>
        <v>34.979423868312757</v>
      </c>
      <c r="AF28" s="9">
        <f t="shared" si="35"/>
        <v>127.90697674418605</v>
      </c>
      <c r="AG28" s="9">
        <f t="shared" si="35"/>
        <v>190</v>
      </c>
      <c r="AH28" s="9">
        <f t="shared" si="35"/>
        <v>135.18886679920476</v>
      </c>
      <c r="AJ28" s="6" t="s">
        <v>12</v>
      </c>
      <c r="AK28" s="9" t="e">
        <f>AK27/AK26*100</f>
        <v>#DIV/0!</v>
      </c>
      <c r="AL28" s="9">
        <f>AL27/AL26*100</f>
        <v>46.666666666666664</v>
      </c>
      <c r="AM28" s="9">
        <f>AM27/AM26*100</f>
        <v>40</v>
      </c>
      <c r="AN28" s="9"/>
      <c r="AO28" s="9"/>
      <c r="AP28" s="9"/>
      <c r="AQ28" s="9">
        <f>AQ27/AQ26*100</f>
        <v>45.454545454545453</v>
      </c>
    </row>
    <row r="29" spans="1:43">
      <c r="A29" s="6" t="s">
        <v>25</v>
      </c>
      <c r="B29" s="47">
        <f t="shared" ref="B29:H30" si="36">K29+S29+AK29</f>
        <v>66.7</v>
      </c>
      <c r="C29" s="29">
        <f t="shared" si="36"/>
        <v>4031</v>
      </c>
      <c r="D29" s="29">
        <f t="shared" si="36"/>
        <v>3509</v>
      </c>
      <c r="E29" s="29">
        <f t="shared" si="36"/>
        <v>198</v>
      </c>
      <c r="F29" s="29">
        <f t="shared" si="36"/>
        <v>703</v>
      </c>
      <c r="G29" s="29">
        <f t="shared" si="36"/>
        <v>31</v>
      </c>
      <c r="H29" s="29">
        <f t="shared" si="36"/>
        <v>2577</v>
      </c>
      <c r="J29" s="6" t="s">
        <v>25</v>
      </c>
      <c r="K29" s="15">
        <v>10.199999999999999</v>
      </c>
      <c r="L29" s="16">
        <v>669</v>
      </c>
      <c r="M29" s="16">
        <f>N29+O29+P29+Q29</f>
        <v>576</v>
      </c>
      <c r="N29" s="16">
        <v>5</v>
      </c>
      <c r="O29" s="16">
        <v>122</v>
      </c>
      <c r="P29" s="16">
        <v>11</v>
      </c>
      <c r="Q29" s="16">
        <v>438</v>
      </c>
      <c r="R29" s="6" t="s">
        <v>25</v>
      </c>
      <c r="S29" s="48">
        <v>56.5</v>
      </c>
      <c r="T29" s="50">
        <v>3362</v>
      </c>
      <c r="U29" s="50">
        <f>V29+W29+X29+Y29</f>
        <v>2933</v>
      </c>
      <c r="V29" s="50">
        <v>193</v>
      </c>
      <c r="W29" s="50">
        <v>581</v>
      </c>
      <c r="X29" s="50">
        <v>20</v>
      </c>
      <c r="Y29" s="50">
        <v>2139</v>
      </c>
      <c r="AA29" s="6" t="s">
        <v>25</v>
      </c>
      <c r="AB29" s="15">
        <v>6.8</v>
      </c>
      <c r="AC29" s="16">
        <v>325</v>
      </c>
      <c r="AD29" s="16">
        <f>AE29+AF29+AG29+AH29</f>
        <v>274</v>
      </c>
      <c r="AE29" s="16">
        <v>88</v>
      </c>
      <c r="AF29" s="16">
        <v>14</v>
      </c>
      <c r="AG29" s="16">
        <v>3</v>
      </c>
      <c r="AH29" s="16">
        <v>169</v>
      </c>
      <c r="AJ29" s="6" t="s">
        <v>25</v>
      </c>
      <c r="AK29" s="15"/>
      <c r="AL29" s="16"/>
      <c r="AM29" s="16">
        <f>AN29+AO29+AP29+AQ29</f>
        <v>0</v>
      </c>
      <c r="AN29" s="16"/>
      <c r="AO29" s="16"/>
      <c r="AP29" s="16"/>
      <c r="AQ29" s="16"/>
    </row>
    <row r="30" spans="1:43">
      <c r="A30" s="6" t="s">
        <v>26</v>
      </c>
      <c r="B30" s="27">
        <f t="shared" si="36"/>
        <v>137.30000000000001</v>
      </c>
      <c r="C30" s="26">
        <f t="shared" si="36"/>
        <v>5357</v>
      </c>
      <c r="D30" s="26">
        <f t="shared" si="36"/>
        <v>4655</v>
      </c>
      <c r="E30" s="26">
        <f t="shared" si="36"/>
        <v>2</v>
      </c>
      <c r="F30" s="26">
        <f t="shared" si="36"/>
        <v>351</v>
      </c>
      <c r="G30" s="26">
        <f t="shared" si="36"/>
        <v>20</v>
      </c>
      <c r="H30" s="26">
        <f t="shared" si="36"/>
        <v>4282</v>
      </c>
      <c r="J30" s="6" t="s">
        <v>26</v>
      </c>
      <c r="K30" s="6">
        <f>35.5+1.9</f>
        <v>37.4</v>
      </c>
      <c r="L30" s="6">
        <f>928+150</f>
        <v>1078</v>
      </c>
      <c r="M30" s="9">
        <f>N30+O30+P30+Q30</f>
        <v>935</v>
      </c>
      <c r="N30" s="6"/>
      <c r="O30" s="6"/>
      <c r="P30" s="6"/>
      <c r="Q30" s="6">
        <f>800+135</f>
        <v>935</v>
      </c>
      <c r="R30" s="6" t="s">
        <v>26</v>
      </c>
      <c r="S30" s="24">
        <f>97.5+2.4</f>
        <v>99.9</v>
      </c>
      <c r="T30" s="30">
        <f>4240+39</f>
        <v>4279</v>
      </c>
      <c r="U30" s="30">
        <f>V30+W30+X30+Y30</f>
        <v>3720</v>
      </c>
      <c r="V30" s="30">
        <f>2</f>
        <v>2</v>
      </c>
      <c r="W30" s="30">
        <f>351</f>
        <v>351</v>
      </c>
      <c r="X30" s="30">
        <f>20</f>
        <v>20</v>
      </c>
      <c r="Y30" s="30">
        <f>3313+34</f>
        <v>3347</v>
      </c>
      <c r="AA30" s="6" t="s">
        <v>26</v>
      </c>
      <c r="AB30" s="6"/>
      <c r="AC30" s="6"/>
      <c r="AD30" s="9">
        <f>AE30+AF30+AG30+AH30</f>
        <v>0</v>
      </c>
      <c r="AE30" s="6"/>
      <c r="AF30" s="6"/>
      <c r="AG30" s="6"/>
      <c r="AH30" s="6"/>
      <c r="AJ30" s="6" t="s">
        <v>26</v>
      </c>
      <c r="AK30" s="27"/>
      <c r="AL30" s="6"/>
      <c r="AM30" s="9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9">
        <f t="shared" ref="B31:H31" si="37">B30/B29*100</f>
        <v>205.84707646176912</v>
      </c>
      <c r="C31" s="9">
        <f t="shared" si="37"/>
        <v>132.89506325973704</v>
      </c>
      <c r="D31" s="9">
        <f t="shared" si="37"/>
        <v>132.65887717298375</v>
      </c>
      <c r="E31" s="9">
        <f t="shared" si="37"/>
        <v>1.0101010101010102</v>
      </c>
      <c r="F31" s="9">
        <f t="shared" si="37"/>
        <v>49.928876244665723</v>
      </c>
      <c r="G31" s="9">
        <f t="shared" si="37"/>
        <v>64.516129032258064</v>
      </c>
      <c r="H31" s="9">
        <f t="shared" si="37"/>
        <v>166.16220411331005</v>
      </c>
      <c r="J31" s="6" t="s">
        <v>12</v>
      </c>
      <c r="K31" s="9">
        <f t="shared" ref="K31:Q31" si="38">K30/K29*100</f>
        <v>366.66666666666669</v>
      </c>
      <c r="L31" s="9">
        <f t="shared" si="38"/>
        <v>161.13602391629297</v>
      </c>
      <c r="M31" s="9">
        <f t="shared" si="38"/>
        <v>162.32638888888889</v>
      </c>
      <c r="N31" s="9">
        <f t="shared" si="38"/>
        <v>0</v>
      </c>
      <c r="O31" s="9">
        <f t="shared" si="38"/>
        <v>0</v>
      </c>
      <c r="P31" s="9">
        <f t="shared" si="38"/>
        <v>0</v>
      </c>
      <c r="Q31" s="9">
        <f t="shared" si="38"/>
        <v>213.4703196347032</v>
      </c>
      <c r="R31" s="6" t="s">
        <v>12</v>
      </c>
      <c r="S31" s="9">
        <f t="shared" ref="S31:Y31" si="39">S30/S29*100</f>
        <v>176.81415929203541</v>
      </c>
      <c r="T31" s="9">
        <f t="shared" si="39"/>
        <v>127.27543129089827</v>
      </c>
      <c r="U31" s="9">
        <f t="shared" si="39"/>
        <v>126.83259461302421</v>
      </c>
      <c r="V31" s="9">
        <f t="shared" si="39"/>
        <v>1.0362694300518136</v>
      </c>
      <c r="W31" s="9">
        <f t="shared" si="39"/>
        <v>60.413080895008605</v>
      </c>
      <c r="X31" s="9">
        <f t="shared" si="39"/>
        <v>100</v>
      </c>
      <c r="Y31" s="9">
        <f t="shared" si="39"/>
        <v>156.47498831229547</v>
      </c>
      <c r="AA31" s="6" t="s">
        <v>12</v>
      </c>
      <c r="AB31" s="9">
        <f t="shared" ref="AB31:AH31" si="40">AB30/AB29*100</f>
        <v>0</v>
      </c>
      <c r="AC31" s="9">
        <f t="shared" si="40"/>
        <v>0</v>
      </c>
      <c r="AD31" s="9">
        <f t="shared" si="40"/>
        <v>0</v>
      </c>
      <c r="AE31" s="9">
        <f t="shared" si="40"/>
        <v>0</v>
      </c>
      <c r="AF31" s="9">
        <f>AF30/AF29*100</f>
        <v>0</v>
      </c>
      <c r="AG31" s="9">
        <f t="shared" si="40"/>
        <v>0</v>
      </c>
      <c r="AH31" s="9">
        <f t="shared" si="40"/>
        <v>0</v>
      </c>
      <c r="AJ31" s="6" t="s">
        <v>12</v>
      </c>
      <c r="AK31" s="9" t="e">
        <f>AK30/AK29*100</f>
        <v>#DIV/0!</v>
      </c>
      <c r="AL31" s="9" t="e">
        <f>AL30/AL29*100</f>
        <v>#DIV/0!</v>
      </c>
      <c r="AM31" s="9" t="e">
        <f>AM30/AM29*100</f>
        <v>#DIV/0!</v>
      </c>
      <c r="AN31" s="9"/>
      <c r="AO31" s="9" t="e">
        <f>AO30/AO29*100</f>
        <v>#DIV/0!</v>
      </c>
      <c r="AP31" s="9"/>
      <c r="AQ31" s="9" t="e">
        <f>AQ30/AQ29*100</f>
        <v>#DIV/0!</v>
      </c>
    </row>
    <row r="32" spans="1:43">
      <c r="A32" s="6" t="s">
        <v>27</v>
      </c>
      <c r="B32" s="47">
        <f t="shared" ref="B32:H33" si="41">K32+S32+AK32</f>
        <v>0</v>
      </c>
      <c r="C32" s="29">
        <f t="shared" si="41"/>
        <v>16</v>
      </c>
      <c r="D32" s="29">
        <f t="shared" si="41"/>
        <v>14</v>
      </c>
      <c r="E32" s="29">
        <f t="shared" si="41"/>
        <v>6</v>
      </c>
      <c r="F32" s="29">
        <f t="shared" si="41"/>
        <v>2</v>
      </c>
      <c r="G32" s="29">
        <f t="shared" si="41"/>
        <v>1</v>
      </c>
      <c r="H32" s="29">
        <f t="shared" si="41"/>
        <v>5</v>
      </c>
      <c r="J32" s="6" t="s">
        <v>27</v>
      </c>
      <c r="K32" s="15"/>
      <c r="L32" s="16"/>
      <c r="M32" s="16">
        <f>N32+O32+P32+Q32</f>
        <v>0</v>
      </c>
      <c r="N32" s="16"/>
      <c r="O32" s="16"/>
      <c r="P32" s="16"/>
      <c r="Q32" s="16"/>
      <c r="R32" s="6" t="s">
        <v>27</v>
      </c>
      <c r="S32" s="50"/>
      <c r="T32" s="50">
        <v>16</v>
      </c>
      <c r="U32" s="50">
        <f>V32+W32+X32+Y32</f>
        <v>14</v>
      </c>
      <c r="V32" s="50">
        <v>6</v>
      </c>
      <c r="W32" s="50">
        <v>2</v>
      </c>
      <c r="X32" s="50">
        <v>1</v>
      </c>
      <c r="Y32" s="50">
        <v>5</v>
      </c>
      <c r="AA32" s="6" t="s">
        <v>27</v>
      </c>
      <c r="AB32" s="15"/>
      <c r="AC32" s="16"/>
      <c r="AD32" s="16">
        <f>AE32+AF32+AG32+AH32</f>
        <v>0</v>
      </c>
      <c r="AE32" s="16"/>
      <c r="AF32" s="16"/>
      <c r="AG32" s="16"/>
      <c r="AH32" s="16"/>
      <c r="AJ32" s="6" t="s">
        <v>27</v>
      </c>
      <c r="AK32" s="15"/>
      <c r="AL32" s="16"/>
      <c r="AM32" s="16">
        <f>AN32+AO32+AP32+AQ32</f>
        <v>0</v>
      </c>
      <c r="AN32" s="16"/>
      <c r="AO32" s="16"/>
      <c r="AP32" s="16"/>
      <c r="AQ32" s="16"/>
    </row>
    <row r="33" spans="1:43">
      <c r="A33" s="6" t="s">
        <v>28</v>
      </c>
      <c r="B33" s="27">
        <f t="shared" si="41"/>
        <v>0</v>
      </c>
      <c r="C33" s="26">
        <f t="shared" si="41"/>
        <v>0</v>
      </c>
      <c r="D33" s="26">
        <f t="shared" si="41"/>
        <v>0</v>
      </c>
      <c r="E33" s="26">
        <f t="shared" si="41"/>
        <v>0</v>
      </c>
      <c r="F33" s="26">
        <f t="shared" si="41"/>
        <v>0</v>
      </c>
      <c r="G33" s="26">
        <f t="shared" si="41"/>
        <v>0</v>
      </c>
      <c r="H33" s="26">
        <f t="shared" si="41"/>
        <v>0</v>
      </c>
      <c r="J33" s="6" t="s">
        <v>28</v>
      </c>
      <c r="K33" s="6"/>
      <c r="L33" s="6"/>
      <c r="M33" s="6"/>
      <c r="N33" s="6"/>
      <c r="O33" s="6"/>
      <c r="P33" s="6"/>
      <c r="Q33" s="6"/>
      <c r="R33" s="6" t="s">
        <v>28</v>
      </c>
      <c r="S33" s="30"/>
      <c r="T33" s="30"/>
      <c r="U33" s="30"/>
      <c r="V33" s="30"/>
      <c r="W33" s="30"/>
      <c r="X33" s="30"/>
      <c r="Y33" s="30"/>
      <c r="AA33" s="6" t="s">
        <v>28</v>
      </c>
      <c r="AB33" s="6"/>
      <c r="AC33" s="6"/>
      <c r="AD33" s="6"/>
      <c r="AE33" s="6"/>
      <c r="AF33" s="6"/>
      <c r="AG33" s="6"/>
      <c r="AH33" s="6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26"/>
      <c r="C34" s="26"/>
      <c r="D34" s="26"/>
      <c r="E34" s="26"/>
      <c r="F34" s="26"/>
      <c r="G34" s="26"/>
      <c r="H34" s="26"/>
      <c r="J34" s="6" t="s">
        <v>12</v>
      </c>
      <c r="K34" s="9"/>
      <c r="L34" s="9"/>
      <c r="M34" s="9"/>
      <c r="N34" s="9"/>
      <c r="O34" s="9"/>
      <c r="P34" s="9"/>
      <c r="Q34" s="9"/>
      <c r="R34" s="6" t="s">
        <v>12</v>
      </c>
      <c r="S34" s="189"/>
      <c r="T34" s="189"/>
      <c r="U34" s="189"/>
      <c r="V34" s="189"/>
      <c r="W34" s="189"/>
      <c r="X34" s="189"/>
      <c r="Y34" s="189"/>
      <c r="AA34" s="6" t="s">
        <v>12</v>
      </c>
      <c r="AB34" s="26"/>
      <c r="AC34" s="26"/>
      <c r="AD34" s="26"/>
      <c r="AE34" s="26"/>
      <c r="AF34" s="26"/>
      <c r="AG34" s="26"/>
      <c r="AH34" s="26"/>
      <c r="AJ34" s="6" t="s">
        <v>12</v>
      </c>
      <c r="AK34" s="26"/>
      <c r="AL34" s="26"/>
      <c r="AM34" s="26"/>
      <c r="AN34" s="26"/>
      <c r="AO34" s="26"/>
      <c r="AP34" s="26"/>
      <c r="AQ34" s="26"/>
    </row>
    <row r="35" spans="1:43">
      <c r="A35" s="6" t="s">
        <v>29</v>
      </c>
      <c r="B35" s="47">
        <f t="shared" ref="B35:H36" si="42">K35+S35+AK35</f>
        <v>66.599999999999994</v>
      </c>
      <c r="C35" s="29">
        <f t="shared" si="42"/>
        <v>4334</v>
      </c>
      <c r="D35" s="29">
        <f t="shared" si="42"/>
        <v>3789</v>
      </c>
      <c r="E35" s="29">
        <f t="shared" si="42"/>
        <v>0</v>
      </c>
      <c r="F35" s="29">
        <f t="shared" si="42"/>
        <v>1085</v>
      </c>
      <c r="G35" s="29">
        <f t="shared" si="42"/>
        <v>336</v>
      </c>
      <c r="H35" s="29">
        <f t="shared" si="42"/>
        <v>2368</v>
      </c>
      <c r="J35" s="6" t="s">
        <v>29</v>
      </c>
      <c r="K35" s="15"/>
      <c r="L35" s="16">
        <v>58</v>
      </c>
      <c r="M35" s="16">
        <f>N35+O35+P35+Q35</f>
        <v>47</v>
      </c>
      <c r="N35" s="16"/>
      <c r="O35" s="16">
        <v>5</v>
      </c>
      <c r="P35" s="16">
        <v>5</v>
      </c>
      <c r="Q35" s="16">
        <v>37</v>
      </c>
      <c r="R35" s="6" t="s">
        <v>29</v>
      </c>
      <c r="S35" s="50">
        <v>66.599999999999994</v>
      </c>
      <c r="T35" s="50">
        <v>4276</v>
      </c>
      <c r="U35" s="50">
        <f>V35+W35+X35+Y35</f>
        <v>3742</v>
      </c>
      <c r="V35" s="50"/>
      <c r="W35" s="50">
        <v>1080</v>
      </c>
      <c r="X35" s="50">
        <v>331</v>
      </c>
      <c r="Y35" s="50">
        <v>2331</v>
      </c>
      <c r="AA35" s="6" t="s">
        <v>29</v>
      </c>
      <c r="AB35" s="15"/>
      <c r="AC35" s="16">
        <v>4</v>
      </c>
      <c r="AD35" s="16">
        <f>AE35+AF35+AG35+AH35</f>
        <v>4</v>
      </c>
      <c r="AE35" s="16"/>
      <c r="AF35" s="16">
        <v>2</v>
      </c>
      <c r="AG35" s="16"/>
      <c r="AH35" s="16">
        <v>2</v>
      </c>
      <c r="AJ35" s="6" t="s">
        <v>29</v>
      </c>
      <c r="AK35" s="15"/>
      <c r="AL35" s="16"/>
      <c r="AM35" s="16">
        <f>AN35+AO35+AP35+AQ35</f>
        <v>0</v>
      </c>
      <c r="AN35" s="16"/>
      <c r="AO35" s="16"/>
      <c r="AP35" s="16"/>
      <c r="AQ35" s="16"/>
    </row>
    <row r="36" spans="1:43">
      <c r="A36" s="6" t="s">
        <v>30</v>
      </c>
      <c r="B36" s="27">
        <f t="shared" si="42"/>
        <v>31.700000000000003</v>
      </c>
      <c r="C36" s="26">
        <f t="shared" si="42"/>
        <v>2841</v>
      </c>
      <c r="D36" s="26">
        <f t="shared" si="42"/>
        <v>2470</v>
      </c>
      <c r="E36" s="26">
        <f t="shared" si="42"/>
        <v>4</v>
      </c>
      <c r="F36" s="26">
        <f t="shared" si="42"/>
        <v>62</v>
      </c>
      <c r="G36" s="26">
        <f t="shared" si="42"/>
        <v>35</v>
      </c>
      <c r="H36" s="26">
        <f t="shared" si="42"/>
        <v>2369</v>
      </c>
      <c r="J36" s="6" t="s">
        <v>30</v>
      </c>
      <c r="K36" s="6">
        <f>0.1</f>
        <v>0.1</v>
      </c>
      <c r="L36" s="6">
        <f>31</f>
        <v>31</v>
      </c>
      <c r="M36" s="9">
        <f>N36+O36+P36+Q36</f>
        <v>28</v>
      </c>
      <c r="N36" s="6"/>
      <c r="O36" s="6"/>
      <c r="P36" s="6"/>
      <c r="Q36" s="6">
        <f>28</f>
        <v>28</v>
      </c>
      <c r="R36" s="6" t="s">
        <v>30</v>
      </c>
      <c r="S36" s="30">
        <f>16.6+15</f>
        <v>31.6</v>
      </c>
      <c r="T36" s="30">
        <f>1405+1405</f>
        <v>2810</v>
      </c>
      <c r="U36" s="30">
        <f>V36+W36+X36+Y36</f>
        <v>2442</v>
      </c>
      <c r="V36" s="30">
        <f>1+3</f>
        <v>4</v>
      </c>
      <c r="W36" s="30">
        <f>38+24</f>
        <v>62</v>
      </c>
      <c r="X36" s="30">
        <f>32+3</f>
        <v>35</v>
      </c>
      <c r="Y36" s="30">
        <f>1143+1198</f>
        <v>2341</v>
      </c>
      <c r="AA36" s="6" t="s">
        <v>30</v>
      </c>
      <c r="AB36" s="6"/>
      <c r="AC36" s="6"/>
      <c r="AD36" s="9">
        <f>AE36+AF36+AG36+AH36</f>
        <v>0</v>
      </c>
      <c r="AE36" s="6"/>
      <c r="AF36" s="6"/>
      <c r="AG36" s="6"/>
      <c r="AH36" s="6"/>
      <c r="AJ36" s="6" t="s">
        <v>30</v>
      </c>
      <c r="AK36" s="27"/>
      <c r="AL36" s="6"/>
      <c r="AM36" s="9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9">
        <f t="shared" ref="B37:H37" si="43">B36/B35*100</f>
        <v>47.597597597597606</v>
      </c>
      <c r="C37" s="9">
        <f t="shared" si="43"/>
        <v>65.551453622519617</v>
      </c>
      <c r="D37" s="9">
        <f t="shared" si="43"/>
        <v>65.188704143573503</v>
      </c>
      <c r="E37" s="9" t="e">
        <f t="shared" si="43"/>
        <v>#DIV/0!</v>
      </c>
      <c r="F37" s="9">
        <f t="shared" si="43"/>
        <v>5.7142857142857144</v>
      </c>
      <c r="G37" s="9">
        <f t="shared" si="43"/>
        <v>10.416666666666668</v>
      </c>
      <c r="H37" s="9">
        <f t="shared" si="43"/>
        <v>100.04222972972974</v>
      </c>
      <c r="J37" s="6" t="s">
        <v>12</v>
      </c>
      <c r="K37" s="9" t="e">
        <f t="shared" ref="K37:Q37" si="44">K36/K35*100</f>
        <v>#DIV/0!</v>
      </c>
      <c r="L37" s="9">
        <f t="shared" si="44"/>
        <v>53.448275862068961</v>
      </c>
      <c r="M37" s="9">
        <f t="shared" si="44"/>
        <v>59.574468085106382</v>
      </c>
      <c r="N37" s="9" t="e">
        <f t="shared" si="44"/>
        <v>#DIV/0!</v>
      </c>
      <c r="O37" s="9">
        <f>O36/O35*100</f>
        <v>0</v>
      </c>
      <c r="P37" s="9">
        <f t="shared" si="44"/>
        <v>0</v>
      </c>
      <c r="Q37" s="9">
        <f t="shared" si="44"/>
        <v>75.675675675675677</v>
      </c>
      <c r="R37" s="6" t="s">
        <v>12</v>
      </c>
      <c r="S37" s="9">
        <f t="shared" ref="S37:Y37" si="45">S36/S35*100</f>
        <v>47.447447447447452</v>
      </c>
      <c r="T37" s="9">
        <f t="shared" si="45"/>
        <v>65.715622076707206</v>
      </c>
      <c r="U37" s="9">
        <f t="shared" si="45"/>
        <v>65.2592196686264</v>
      </c>
      <c r="V37" s="9" t="e">
        <f t="shared" si="45"/>
        <v>#DIV/0!</v>
      </c>
      <c r="W37" s="9">
        <f t="shared" si="45"/>
        <v>5.7407407407407405</v>
      </c>
      <c r="X37" s="9">
        <f t="shared" si="45"/>
        <v>10.574018126888216</v>
      </c>
      <c r="Y37" s="9">
        <f t="shared" si="45"/>
        <v>100.42900042900042</v>
      </c>
      <c r="AA37" s="6" t="s">
        <v>12</v>
      </c>
      <c r="AB37" s="26"/>
      <c r="AC37" s="26"/>
      <c r="AD37" s="26"/>
      <c r="AE37" s="26"/>
      <c r="AF37" s="26"/>
      <c r="AG37" s="26"/>
      <c r="AH37" s="26"/>
      <c r="AJ37" s="6" t="s">
        <v>12</v>
      </c>
      <c r="AK37" s="9" t="e">
        <f>AK36/AK35*100</f>
        <v>#DIV/0!</v>
      </c>
      <c r="AL37" s="9" t="e">
        <f>AL36/AL35*100</f>
        <v>#DIV/0!</v>
      </c>
      <c r="AM37" s="9" t="e">
        <f>AM36/AM35*100</f>
        <v>#DIV/0!</v>
      </c>
      <c r="AN37" s="9"/>
      <c r="AO37" s="9" t="e">
        <f>AO36/AO35*100</f>
        <v>#DIV/0!</v>
      </c>
      <c r="AP37" s="9" t="e">
        <f>AP36/AP35*100</f>
        <v>#DIV/0!</v>
      </c>
      <c r="AQ37" s="9" t="e">
        <f>AQ36/AQ35*100</f>
        <v>#DIV/0!</v>
      </c>
    </row>
    <row r="38" spans="1:43">
      <c r="A38" s="6" t="s">
        <v>31</v>
      </c>
      <c r="B38" s="47">
        <f t="shared" ref="B38:H39" si="46">K38+S38+AK38</f>
        <v>256.60000000000002</v>
      </c>
      <c r="C38" s="29">
        <f t="shared" si="46"/>
        <v>10134</v>
      </c>
      <c r="D38" s="29">
        <f t="shared" si="46"/>
        <v>8234</v>
      </c>
      <c r="E38" s="29">
        <f t="shared" si="46"/>
        <v>591</v>
      </c>
      <c r="F38" s="29">
        <f t="shared" si="46"/>
        <v>1667</v>
      </c>
      <c r="G38" s="29">
        <f t="shared" si="46"/>
        <v>399</v>
      </c>
      <c r="H38" s="29">
        <f t="shared" si="46"/>
        <v>5577</v>
      </c>
      <c r="J38" s="6" t="s">
        <v>31</v>
      </c>
      <c r="K38" s="15">
        <v>121.3</v>
      </c>
      <c r="L38" s="16">
        <v>5998</v>
      </c>
      <c r="M38" s="16">
        <f>N38+O38+P38+Q38</f>
        <v>4885</v>
      </c>
      <c r="N38" s="16">
        <v>178</v>
      </c>
      <c r="O38" s="16">
        <v>1099</v>
      </c>
      <c r="P38" s="16">
        <v>257</v>
      </c>
      <c r="Q38" s="16">
        <v>3351</v>
      </c>
      <c r="R38" s="6" t="s">
        <v>31</v>
      </c>
      <c r="S38" s="48">
        <v>134.5</v>
      </c>
      <c r="T38" s="50">
        <v>3955</v>
      </c>
      <c r="U38" s="50">
        <f>V38+W38+X38+Y38</f>
        <v>3206</v>
      </c>
      <c r="V38" s="50">
        <v>411</v>
      </c>
      <c r="W38" s="50">
        <v>550</v>
      </c>
      <c r="X38" s="50">
        <v>135</v>
      </c>
      <c r="Y38" s="50">
        <v>2110</v>
      </c>
      <c r="AA38" s="6" t="s">
        <v>31</v>
      </c>
      <c r="AB38" s="15">
        <v>13.1</v>
      </c>
      <c r="AC38" s="16">
        <v>1222</v>
      </c>
      <c r="AD38" s="16">
        <f>AE38+AF38+AG38+AH38</f>
        <v>1016</v>
      </c>
      <c r="AE38" s="16">
        <v>229</v>
      </c>
      <c r="AF38" s="16">
        <v>89</v>
      </c>
      <c r="AG38" s="16">
        <v>18</v>
      </c>
      <c r="AH38" s="16">
        <v>680</v>
      </c>
      <c r="AJ38" s="6" t="s">
        <v>31</v>
      </c>
      <c r="AK38" s="15">
        <v>0.8</v>
      </c>
      <c r="AL38" s="16">
        <v>181</v>
      </c>
      <c r="AM38" s="16">
        <f>AN38+AO38+AP38+AQ38</f>
        <v>143</v>
      </c>
      <c r="AN38" s="16">
        <v>2</v>
      </c>
      <c r="AO38" s="16">
        <v>18</v>
      </c>
      <c r="AP38" s="16">
        <v>7</v>
      </c>
      <c r="AQ38" s="16">
        <v>116</v>
      </c>
    </row>
    <row r="39" spans="1:43">
      <c r="A39" s="6" t="s">
        <v>32</v>
      </c>
      <c r="B39" s="27">
        <f t="shared" si="46"/>
        <v>250</v>
      </c>
      <c r="C39" s="26">
        <f t="shared" si="46"/>
        <v>13015</v>
      </c>
      <c r="D39" s="26">
        <f t="shared" si="46"/>
        <v>11218</v>
      </c>
      <c r="E39" s="26">
        <f t="shared" si="46"/>
        <v>1400</v>
      </c>
      <c r="F39" s="26">
        <f t="shared" si="46"/>
        <v>1499</v>
      </c>
      <c r="G39" s="26">
        <f t="shared" si="46"/>
        <v>44</v>
      </c>
      <c r="H39" s="26">
        <f t="shared" si="46"/>
        <v>8275</v>
      </c>
      <c r="J39" s="6" t="s">
        <v>32</v>
      </c>
      <c r="K39" s="6">
        <f>107.9+43.1</f>
        <v>151</v>
      </c>
      <c r="L39" s="6">
        <f>5282+2559</f>
        <v>7841</v>
      </c>
      <c r="M39" s="9">
        <f>N39+O39+P39+Q39</f>
        <v>6759</v>
      </c>
      <c r="N39" s="6">
        <f>543+442</f>
        <v>985</v>
      </c>
      <c r="O39" s="6">
        <f>742+221</f>
        <v>963</v>
      </c>
      <c r="P39" s="6">
        <f>25+3</f>
        <v>28</v>
      </c>
      <c r="Q39" s="6">
        <f>3250+1533</f>
        <v>4783</v>
      </c>
      <c r="R39" s="6" t="s">
        <v>32</v>
      </c>
      <c r="S39" s="24">
        <f>82.8+14.3</f>
        <v>97.1</v>
      </c>
      <c r="T39" s="30">
        <f>3863+890</f>
        <v>4753</v>
      </c>
      <c r="U39" s="30">
        <f>V39+W39+X39+Y39</f>
        <v>4070</v>
      </c>
      <c r="V39" s="30">
        <f>257+150</f>
        <v>407</v>
      </c>
      <c r="W39" s="30">
        <f>384+150</f>
        <v>534</v>
      </c>
      <c r="X39" s="30">
        <f>11+1</f>
        <v>12</v>
      </c>
      <c r="Y39" s="30">
        <f>2667+450</f>
        <v>3117</v>
      </c>
      <c r="AA39" s="6" t="s">
        <v>32</v>
      </c>
      <c r="AB39" s="6">
        <f>10.5</f>
        <v>10.5</v>
      </c>
      <c r="AC39" s="6">
        <f>380</f>
        <v>380</v>
      </c>
      <c r="AD39" s="9">
        <f>AE39+AF39+AG39+AH39</f>
        <v>338</v>
      </c>
      <c r="AE39" s="6">
        <f>12</f>
        <v>12</v>
      </c>
      <c r="AF39" s="6"/>
      <c r="AG39" s="6"/>
      <c r="AH39" s="6">
        <f>326</f>
        <v>326</v>
      </c>
      <c r="AJ39" s="6" t="s">
        <v>32</v>
      </c>
      <c r="AK39" s="6">
        <f>1.9</f>
        <v>1.9</v>
      </c>
      <c r="AL39" s="6">
        <f>421</f>
        <v>421</v>
      </c>
      <c r="AM39" s="9">
        <f>AN39+AO39+AP39+AQ39</f>
        <v>389</v>
      </c>
      <c r="AN39" s="6">
        <f>8</f>
        <v>8</v>
      </c>
      <c r="AO39" s="6">
        <f>2</f>
        <v>2</v>
      </c>
      <c r="AP39" s="6">
        <f>4</f>
        <v>4</v>
      </c>
      <c r="AQ39" s="6">
        <f>375</f>
        <v>375</v>
      </c>
    </row>
    <row r="40" spans="1:43">
      <c r="A40" s="6" t="s">
        <v>12</v>
      </c>
      <c r="B40" s="9">
        <f t="shared" ref="B40:H40" si="47">B39/B38*100</f>
        <v>97.427903351519859</v>
      </c>
      <c r="C40" s="9">
        <f t="shared" si="47"/>
        <v>128.42905072034733</v>
      </c>
      <c r="D40" s="9">
        <f t="shared" si="47"/>
        <v>136.23998056837502</v>
      </c>
      <c r="E40" s="9">
        <f t="shared" si="47"/>
        <v>236.88663282571915</v>
      </c>
      <c r="F40" s="9">
        <f t="shared" si="47"/>
        <v>89.922015596880627</v>
      </c>
      <c r="G40" s="9">
        <f t="shared" si="47"/>
        <v>11.027568922305765</v>
      </c>
      <c r="H40" s="9">
        <f t="shared" si="47"/>
        <v>148.37726376187914</v>
      </c>
      <c r="J40" s="6" t="s">
        <v>12</v>
      </c>
      <c r="K40" s="9">
        <f t="shared" ref="K40:Q40" si="48">K39/K38*100</f>
        <v>124.48474855729597</v>
      </c>
      <c r="L40" s="9">
        <f t="shared" si="48"/>
        <v>130.72690896965656</v>
      </c>
      <c r="M40" s="9">
        <f t="shared" si="48"/>
        <v>138.36233367451382</v>
      </c>
      <c r="N40" s="9">
        <f t="shared" si="48"/>
        <v>553.37078651685397</v>
      </c>
      <c r="O40" s="9">
        <f t="shared" si="48"/>
        <v>87.625113739763421</v>
      </c>
      <c r="P40" s="9">
        <f t="shared" si="48"/>
        <v>10.894941634241246</v>
      </c>
      <c r="Q40" s="9">
        <f t="shared" si="48"/>
        <v>142.73351238436288</v>
      </c>
      <c r="R40" s="6" t="s">
        <v>12</v>
      </c>
      <c r="S40" s="9">
        <f t="shared" ref="S40:Y40" si="49">S39/S38*100</f>
        <v>72.193308550185861</v>
      </c>
      <c r="T40" s="9">
        <f t="shared" si="49"/>
        <v>120.17699115044248</v>
      </c>
      <c r="U40" s="9">
        <f t="shared" si="49"/>
        <v>126.94946974422956</v>
      </c>
      <c r="V40" s="9">
        <f t="shared" si="49"/>
        <v>99.026763990267639</v>
      </c>
      <c r="W40" s="9">
        <f t="shared" si="49"/>
        <v>97.090909090909093</v>
      </c>
      <c r="X40" s="9">
        <f t="shared" si="49"/>
        <v>8.8888888888888893</v>
      </c>
      <c r="Y40" s="9">
        <f t="shared" si="49"/>
        <v>147.72511848341233</v>
      </c>
      <c r="AA40" s="6" t="s">
        <v>12</v>
      </c>
      <c r="AB40" s="9">
        <f t="shared" ref="AB40:AH40" si="50">AB39/AB38*100</f>
        <v>80.152671755725194</v>
      </c>
      <c r="AC40" s="9">
        <f t="shared" si="50"/>
        <v>31.096563011456631</v>
      </c>
      <c r="AD40" s="9">
        <f t="shared" si="50"/>
        <v>33.267716535433074</v>
      </c>
      <c r="AE40" s="9">
        <f t="shared" si="50"/>
        <v>5.2401746724890828</v>
      </c>
      <c r="AF40" s="9">
        <f t="shared" si="50"/>
        <v>0</v>
      </c>
      <c r="AG40" s="9">
        <f t="shared" si="50"/>
        <v>0</v>
      </c>
      <c r="AH40" s="9">
        <f t="shared" si="50"/>
        <v>47.941176470588239</v>
      </c>
      <c r="AJ40" s="6" t="s">
        <v>12</v>
      </c>
      <c r="AK40" s="9">
        <f>AK39/AK38*100</f>
        <v>237.49999999999994</v>
      </c>
      <c r="AL40" s="9">
        <f>AL39/AL38*100</f>
        <v>232.59668508287294</v>
      </c>
      <c r="AM40" s="9">
        <f>AM39/AM38*100</f>
        <v>272.02797202797206</v>
      </c>
      <c r="AN40" s="9"/>
      <c r="AO40" s="9">
        <f>AO39/AO38*100</f>
        <v>11.111111111111111</v>
      </c>
      <c r="AP40" s="9">
        <f>AP39/AP38*100</f>
        <v>57.142857142857139</v>
      </c>
      <c r="AQ40" s="9">
        <f>AQ39/AQ38*100</f>
        <v>323.27586206896552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51">K9+S9+AK9</f>
        <v>1008.1</v>
      </c>
      <c r="C46" s="83">
        <f t="shared" si="51"/>
        <v>45177</v>
      </c>
      <c r="D46" s="83">
        <f t="shared" si="51"/>
        <v>37493</v>
      </c>
      <c r="E46" s="83">
        <f t="shared" si="51"/>
        <v>4339</v>
      </c>
      <c r="F46" s="83">
        <f t="shared" si="51"/>
        <v>7797</v>
      </c>
      <c r="G46" s="83">
        <f t="shared" si="51"/>
        <v>1478</v>
      </c>
      <c r="H46" s="83">
        <f t="shared" si="51"/>
        <v>23879</v>
      </c>
    </row>
    <row r="47" spans="1:43">
      <c r="A47" s="84" t="s">
        <v>50</v>
      </c>
      <c r="B47" s="83">
        <f t="shared" si="51"/>
        <v>1032.5</v>
      </c>
      <c r="C47" s="83">
        <f t="shared" si="51"/>
        <v>46684</v>
      </c>
      <c r="D47" s="83">
        <f t="shared" si="51"/>
        <v>39834</v>
      </c>
      <c r="E47" s="83">
        <f t="shared" si="51"/>
        <v>3598</v>
      </c>
      <c r="F47" s="83">
        <f t="shared" si="51"/>
        <v>6708</v>
      </c>
      <c r="G47" s="83">
        <f t="shared" si="51"/>
        <v>410</v>
      </c>
      <c r="H47" s="83">
        <f t="shared" si="51"/>
        <v>29118</v>
      </c>
    </row>
    <row r="48" spans="1:43">
      <c r="A48" s="85" t="s">
        <v>44</v>
      </c>
      <c r="B48" s="86">
        <f>B47/B46*100</f>
        <v>102.42039480210296</v>
      </c>
      <c r="C48" s="86">
        <f t="shared" ref="C48:H48" si="52">C47/C46*100</f>
        <v>103.33576820063305</v>
      </c>
      <c r="D48" s="86">
        <f t="shared" si="52"/>
        <v>106.24383218200731</v>
      </c>
      <c r="E48" s="86">
        <f t="shared" si="52"/>
        <v>82.922332334639322</v>
      </c>
      <c r="F48" s="86">
        <f t="shared" si="52"/>
        <v>86.033089649865332</v>
      </c>
      <c r="G48" s="86">
        <f t="shared" si="52"/>
        <v>27.740189445196211</v>
      </c>
      <c r="H48" s="86">
        <f t="shared" si="52"/>
        <v>121.93977972276898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3">K13+S13+AK13</f>
        <v>97</v>
      </c>
      <c r="C50" s="90">
        <f t="shared" si="53"/>
        <v>5152</v>
      </c>
      <c r="D50" s="90">
        <f t="shared" si="53"/>
        <v>3862</v>
      </c>
      <c r="E50" s="90">
        <f t="shared" si="53"/>
        <v>1209</v>
      </c>
      <c r="F50" s="90">
        <f t="shared" si="53"/>
        <v>1614</v>
      </c>
      <c r="G50" s="90">
        <f t="shared" si="53"/>
        <v>210</v>
      </c>
      <c r="H50" s="90">
        <f t="shared" si="53"/>
        <v>829</v>
      </c>
    </row>
    <row r="51" spans="1:8">
      <c r="A51" s="75" t="s">
        <v>50</v>
      </c>
      <c r="B51" s="90">
        <f t="shared" si="53"/>
        <v>157.89999999999998</v>
      </c>
      <c r="C51" s="90">
        <f t="shared" si="53"/>
        <v>6494</v>
      </c>
      <c r="D51" s="90">
        <f t="shared" si="53"/>
        <v>5113</v>
      </c>
      <c r="E51" s="90">
        <f t="shared" si="53"/>
        <v>710</v>
      </c>
      <c r="F51" s="90">
        <f t="shared" si="53"/>
        <v>2025</v>
      </c>
      <c r="G51" s="90">
        <f t="shared" si="53"/>
        <v>124</v>
      </c>
      <c r="H51" s="90">
        <f t="shared" si="53"/>
        <v>2254</v>
      </c>
    </row>
    <row r="52" spans="1:8">
      <c r="A52" s="75" t="s">
        <v>44</v>
      </c>
      <c r="B52" s="91">
        <f t="shared" ref="B52:H52" si="54">B51/B50*100</f>
        <v>162.78350515463916</v>
      </c>
      <c r="C52" s="91">
        <f t="shared" si="54"/>
        <v>126.04813664596273</v>
      </c>
      <c r="D52" s="91">
        <f t="shared" si="54"/>
        <v>132.39254272397721</v>
      </c>
      <c r="E52" s="91">
        <f t="shared" si="54"/>
        <v>58.726220016542598</v>
      </c>
      <c r="F52" s="91">
        <f t="shared" si="54"/>
        <v>125.4646840148699</v>
      </c>
      <c r="G52" s="91">
        <f t="shared" si="54"/>
        <v>59.047619047619051</v>
      </c>
      <c r="H52" s="91">
        <f t="shared" si="54"/>
        <v>271.89384800965018</v>
      </c>
    </row>
    <row r="53" spans="1:8">
      <c r="A53" s="75" t="s">
        <v>13</v>
      </c>
      <c r="B53" s="90">
        <f t="shared" ref="B53:H55" si="55">K16+S16+AK16</f>
        <v>119.9</v>
      </c>
      <c r="C53" s="90">
        <f t="shared" si="55"/>
        <v>4841</v>
      </c>
      <c r="D53" s="90">
        <f t="shared" si="55"/>
        <v>3748</v>
      </c>
      <c r="E53" s="90">
        <f t="shared" si="55"/>
        <v>419</v>
      </c>
      <c r="F53" s="90">
        <f t="shared" si="55"/>
        <v>1744</v>
      </c>
      <c r="G53" s="90">
        <f t="shared" si="55"/>
        <v>113</v>
      </c>
      <c r="H53" s="90">
        <f t="shared" si="55"/>
        <v>1472</v>
      </c>
    </row>
    <row r="54" spans="1:8">
      <c r="A54" s="92" t="s">
        <v>14</v>
      </c>
      <c r="B54" s="90">
        <f t="shared" si="55"/>
        <v>1</v>
      </c>
      <c r="C54" s="90">
        <f t="shared" si="55"/>
        <v>61</v>
      </c>
      <c r="D54" s="90">
        <f t="shared" si="55"/>
        <v>53</v>
      </c>
      <c r="E54" s="90">
        <f t="shared" si="55"/>
        <v>5</v>
      </c>
      <c r="F54" s="90">
        <f t="shared" si="55"/>
        <v>12</v>
      </c>
      <c r="G54" s="90">
        <f t="shared" si="55"/>
        <v>1</v>
      </c>
      <c r="H54" s="90">
        <f t="shared" si="55"/>
        <v>35</v>
      </c>
    </row>
    <row r="55" spans="1:8">
      <c r="A55" s="75" t="s">
        <v>15</v>
      </c>
      <c r="B55" s="90">
        <f t="shared" si="55"/>
        <v>0</v>
      </c>
      <c r="C55" s="90">
        <f t="shared" si="55"/>
        <v>0</v>
      </c>
      <c r="D55" s="90">
        <f t="shared" si="55"/>
        <v>0</v>
      </c>
      <c r="E55" s="90">
        <f t="shared" si="55"/>
        <v>0</v>
      </c>
      <c r="F55" s="90">
        <f t="shared" si="55"/>
        <v>0</v>
      </c>
      <c r="G55" s="90">
        <f t="shared" si="55"/>
        <v>0</v>
      </c>
      <c r="H55" s="90">
        <f t="shared" si="55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6">K20+S20+AK20</f>
        <v>911.1</v>
      </c>
      <c r="C57" s="90">
        <f t="shared" si="56"/>
        <v>40025</v>
      </c>
      <c r="D57" s="90">
        <f t="shared" si="56"/>
        <v>33631</v>
      </c>
      <c r="E57" s="90">
        <f t="shared" si="56"/>
        <v>3130</v>
      </c>
      <c r="F57" s="90">
        <f t="shared" si="56"/>
        <v>6183</v>
      </c>
      <c r="G57" s="90">
        <f t="shared" si="56"/>
        <v>1268</v>
      </c>
      <c r="H57" s="90">
        <f t="shared" si="56"/>
        <v>23050</v>
      </c>
    </row>
    <row r="58" spans="1:8">
      <c r="A58" s="92" t="s">
        <v>50</v>
      </c>
      <c r="B58" s="90">
        <f t="shared" si="56"/>
        <v>874.6</v>
      </c>
      <c r="C58" s="90">
        <f t="shared" si="56"/>
        <v>40190</v>
      </c>
      <c r="D58" s="90">
        <f t="shared" si="56"/>
        <v>34721</v>
      </c>
      <c r="E58" s="90">
        <f t="shared" si="56"/>
        <v>2888</v>
      </c>
      <c r="F58" s="90">
        <f t="shared" si="56"/>
        <v>4683</v>
      </c>
      <c r="G58" s="90">
        <f t="shared" si="56"/>
        <v>286</v>
      </c>
      <c r="H58" s="90">
        <f t="shared" si="56"/>
        <v>26864</v>
      </c>
    </row>
    <row r="59" spans="1:8">
      <c r="A59" s="75" t="s">
        <v>44</v>
      </c>
      <c r="B59" s="91">
        <f t="shared" ref="B59:H59" si="57">B58/B57*100</f>
        <v>95.99385358358029</v>
      </c>
      <c r="C59" s="91">
        <f t="shared" si="57"/>
        <v>100.41224234853216</v>
      </c>
      <c r="D59" s="91">
        <f t="shared" si="57"/>
        <v>103.2410573577949</v>
      </c>
      <c r="E59" s="91">
        <f t="shared" si="57"/>
        <v>92.268370607028743</v>
      </c>
      <c r="F59" s="91">
        <f t="shared" si="57"/>
        <v>75.739932071809804</v>
      </c>
      <c r="G59" s="91">
        <f t="shared" si="57"/>
        <v>22.555205047318612</v>
      </c>
      <c r="H59" s="91">
        <f t="shared" si="57"/>
        <v>116.54663774403471</v>
      </c>
    </row>
    <row r="60" spans="1:8">
      <c r="A60" s="75" t="s">
        <v>21</v>
      </c>
      <c r="B60" s="90">
        <f t="shared" ref="B60:H61" si="58">K23+S23+AK23</f>
        <v>418.4</v>
      </c>
      <c r="C60" s="90">
        <f t="shared" si="58"/>
        <v>15000</v>
      </c>
      <c r="D60" s="90">
        <f t="shared" si="58"/>
        <v>12391</v>
      </c>
      <c r="E60" s="90">
        <f t="shared" si="58"/>
        <v>2051</v>
      </c>
      <c r="F60" s="90">
        <f t="shared" si="58"/>
        <v>1593</v>
      </c>
      <c r="G60" s="90">
        <f t="shared" si="58"/>
        <v>345</v>
      </c>
      <c r="H60" s="90">
        <f t="shared" si="58"/>
        <v>8402</v>
      </c>
    </row>
    <row r="61" spans="1:8">
      <c r="A61" s="75" t="s">
        <v>51</v>
      </c>
      <c r="B61" s="90">
        <f t="shared" si="58"/>
        <v>280.89999999999998</v>
      </c>
      <c r="C61" s="90">
        <f t="shared" si="58"/>
        <v>12036</v>
      </c>
      <c r="D61" s="90">
        <f t="shared" si="58"/>
        <v>10416</v>
      </c>
      <c r="E61" s="90">
        <f t="shared" si="58"/>
        <v>1236</v>
      </c>
      <c r="F61" s="90">
        <f t="shared" si="58"/>
        <v>1741</v>
      </c>
      <c r="G61" s="90">
        <f t="shared" si="58"/>
        <v>142</v>
      </c>
      <c r="H61" s="90">
        <f t="shared" si="58"/>
        <v>7297</v>
      </c>
    </row>
    <row r="62" spans="1:8">
      <c r="A62" s="75" t="s">
        <v>12</v>
      </c>
      <c r="B62" s="91">
        <f t="shared" ref="B62:H62" si="59">B61/B60*100</f>
        <v>67.136711281070745</v>
      </c>
      <c r="C62" s="91">
        <f t="shared" si="59"/>
        <v>80.239999999999995</v>
      </c>
      <c r="D62" s="91">
        <f t="shared" si="59"/>
        <v>84.061012024856751</v>
      </c>
      <c r="E62" s="91">
        <f t="shared" si="59"/>
        <v>60.26328620185275</v>
      </c>
      <c r="F62" s="91">
        <f t="shared" si="59"/>
        <v>109.29064657878217</v>
      </c>
      <c r="G62" s="91">
        <f t="shared" si="59"/>
        <v>41.159420289855071</v>
      </c>
      <c r="H62" s="91">
        <f t="shared" si="59"/>
        <v>86.84836943584861</v>
      </c>
    </row>
    <row r="63" spans="1:8">
      <c r="A63" s="75" t="s">
        <v>23</v>
      </c>
      <c r="B63" s="90">
        <f t="shared" ref="B63:H64" si="60">K26+S26+AK26</f>
        <v>102.80000000000001</v>
      </c>
      <c r="C63" s="90">
        <f t="shared" si="60"/>
        <v>6510</v>
      </c>
      <c r="D63" s="90">
        <f t="shared" si="60"/>
        <v>5694</v>
      </c>
      <c r="E63" s="90">
        <f t="shared" si="60"/>
        <v>284</v>
      </c>
      <c r="F63" s="90">
        <f t="shared" si="60"/>
        <v>1133</v>
      </c>
      <c r="G63" s="90">
        <f t="shared" si="60"/>
        <v>156</v>
      </c>
      <c r="H63" s="90">
        <f t="shared" si="60"/>
        <v>4121</v>
      </c>
    </row>
    <row r="64" spans="1:8">
      <c r="A64" s="75" t="s">
        <v>45</v>
      </c>
      <c r="B64" s="90">
        <f t="shared" si="60"/>
        <v>174.7</v>
      </c>
      <c r="C64" s="90">
        <f t="shared" si="60"/>
        <v>6941</v>
      </c>
      <c r="D64" s="90">
        <f t="shared" si="60"/>
        <v>5962</v>
      </c>
      <c r="E64" s="90">
        <f t="shared" si="60"/>
        <v>246</v>
      </c>
      <c r="F64" s="90">
        <f t="shared" si="60"/>
        <v>1030</v>
      </c>
      <c r="G64" s="90">
        <f t="shared" si="60"/>
        <v>45</v>
      </c>
      <c r="H64" s="90">
        <f t="shared" si="60"/>
        <v>4641</v>
      </c>
    </row>
    <row r="65" spans="1:8">
      <c r="A65" s="75" t="s">
        <v>12</v>
      </c>
      <c r="B65" s="91">
        <f t="shared" ref="B65:H65" si="61">B64/B63*100</f>
        <v>169.94163424124511</v>
      </c>
      <c r="C65" s="91">
        <f t="shared" si="61"/>
        <v>106.62058371735792</v>
      </c>
      <c r="D65" s="91">
        <f t="shared" si="61"/>
        <v>104.70670881629786</v>
      </c>
      <c r="E65" s="91">
        <f t="shared" si="61"/>
        <v>86.619718309859152</v>
      </c>
      <c r="F65" s="91">
        <f t="shared" si="61"/>
        <v>90.909090909090907</v>
      </c>
      <c r="G65" s="91">
        <f t="shared" si="61"/>
        <v>28.846153846153843</v>
      </c>
      <c r="H65" s="91">
        <f t="shared" si="61"/>
        <v>112.61829652996846</v>
      </c>
    </row>
    <row r="66" spans="1:8">
      <c r="A66" s="75" t="s">
        <v>25</v>
      </c>
      <c r="B66" s="90">
        <f t="shared" ref="B66:H67" si="62">K29+S29+AK29</f>
        <v>66.7</v>
      </c>
      <c r="C66" s="90">
        <f t="shared" si="62"/>
        <v>4031</v>
      </c>
      <c r="D66" s="90">
        <f t="shared" si="62"/>
        <v>3509</v>
      </c>
      <c r="E66" s="90">
        <f t="shared" si="62"/>
        <v>198</v>
      </c>
      <c r="F66" s="90">
        <f t="shared" si="62"/>
        <v>703</v>
      </c>
      <c r="G66" s="90">
        <f t="shared" si="62"/>
        <v>31</v>
      </c>
      <c r="H66" s="90">
        <f t="shared" si="62"/>
        <v>2577</v>
      </c>
    </row>
    <row r="67" spans="1:8">
      <c r="A67" s="75" t="s">
        <v>46</v>
      </c>
      <c r="B67" s="90">
        <f t="shared" si="62"/>
        <v>137.30000000000001</v>
      </c>
      <c r="C67" s="90">
        <f t="shared" si="62"/>
        <v>5357</v>
      </c>
      <c r="D67" s="90">
        <f t="shared" si="62"/>
        <v>4655</v>
      </c>
      <c r="E67" s="90">
        <f t="shared" si="62"/>
        <v>2</v>
      </c>
      <c r="F67" s="90">
        <f t="shared" si="62"/>
        <v>351</v>
      </c>
      <c r="G67" s="90">
        <f t="shared" si="62"/>
        <v>20</v>
      </c>
      <c r="H67" s="90">
        <f t="shared" si="62"/>
        <v>4282</v>
      </c>
    </row>
    <row r="68" spans="1:8">
      <c r="A68" s="75" t="s">
        <v>12</v>
      </c>
      <c r="B68" s="91">
        <f t="shared" ref="B68:H68" si="63">B67/B66*100</f>
        <v>205.84707646176912</v>
      </c>
      <c r="C68" s="91">
        <f t="shared" si="63"/>
        <v>132.89506325973704</v>
      </c>
      <c r="D68" s="91">
        <f t="shared" si="63"/>
        <v>132.65887717298375</v>
      </c>
      <c r="E68" s="91">
        <f t="shared" si="63"/>
        <v>1.0101010101010102</v>
      </c>
      <c r="F68" s="91">
        <f t="shared" si="63"/>
        <v>49.928876244665723</v>
      </c>
      <c r="G68" s="91">
        <f t="shared" si="63"/>
        <v>64.516129032258064</v>
      </c>
      <c r="H68" s="91">
        <f t="shared" si="63"/>
        <v>166.16220411331005</v>
      </c>
    </row>
    <row r="69" spans="1:8">
      <c r="A69" s="75" t="s">
        <v>27</v>
      </c>
      <c r="B69" s="90">
        <f t="shared" ref="B69:H70" si="64">K32+S32+AK32</f>
        <v>0</v>
      </c>
      <c r="C69" s="90">
        <f t="shared" si="64"/>
        <v>16</v>
      </c>
      <c r="D69" s="90">
        <f t="shared" si="64"/>
        <v>14</v>
      </c>
      <c r="E69" s="90">
        <f t="shared" si="64"/>
        <v>6</v>
      </c>
      <c r="F69" s="90">
        <f t="shared" si="64"/>
        <v>2</v>
      </c>
      <c r="G69" s="90">
        <f t="shared" si="64"/>
        <v>1</v>
      </c>
      <c r="H69" s="90">
        <f t="shared" si="64"/>
        <v>5</v>
      </c>
    </row>
    <row r="70" spans="1:8">
      <c r="A70" s="75" t="s">
        <v>47</v>
      </c>
      <c r="B70" s="90">
        <f t="shared" si="64"/>
        <v>0</v>
      </c>
      <c r="C70" s="90">
        <f t="shared" si="64"/>
        <v>0</v>
      </c>
      <c r="D70" s="90">
        <f t="shared" si="64"/>
        <v>0</v>
      </c>
      <c r="E70" s="90">
        <f t="shared" si="64"/>
        <v>0</v>
      </c>
      <c r="F70" s="90">
        <f t="shared" si="64"/>
        <v>0</v>
      </c>
      <c r="G70" s="90">
        <f t="shared" si="64"/>
        <v>0</v>
      </c>
      <c r="H70" s="90">
        <f t="shared" si="64"/>
        <v>0</v>
      </c>
    </row>
    <row r="71" spans="1:8">
      <c r="A71" s="75" t="s">
        <v>12</v>
      </c>
      <c r="B71" s="91" t="e">
        <f t="shared" ref="B71:H71" si="65">B70/B69*100</f>
        <v>#DIV/0!</v>
      </c>
      <c r="C71" s="91">
        <f t="shared" si="65"/>
        <v>0</v>
      </c>
      <c r="D71" s="91">
        <f t="shared" si="65"/>
        <v>0</v>
      </c>
      <c r="E71" s="91">
        <f t="shared" si="65"/>
        <v>0</v>
      </c>
      <c r="F71" s="91">
        <f t="shared" si="65"/>
        <v>0</v>
      </c>
      <c r="G71" s="91">
        <f t="shared" si="65"/>
        <v>0</v>
      </c>
      <c r="H71" s="91">
        <f t="shared" si="65"/>
        <v>0</v>
      </c>
    </row>
    <row r="72" spans="1:8">
      <c r="A72" s="75" t="s">
        <v>29</v>
      </c>
      <c r="B72" s="90">
        <f t="shared" ref="B72:H73" si="66">K35+S35+AK35</f>
        <v>66.599999999999994</v>
      </c>
      <c r="C72" s="90">
        <f t="shared" si="66"/>
        <v>4334</v>
      </c>
      <c r="D72" s="90">
        <f t="shared" si="66"/>
        <v>3789</v>
      </c>
      <c r="E72" s="90">
        <f t="shared" si="66"/>
        <v>0</v>
      </c>
      <c r="F72" s="90">
        <f t="shared" si="66"/>
        <v>1085</v>
      </c>
      <c r="G72" s="90">
        <f t="shared" si="66"/>
        <v>336</v>
      </c>
      <c r="H72" s="90">
        <f t="shared" si="66"/>
        <v>2368</v>
      </c>
    </row>
    <row r="73" spans="1:8">
      <c r="A73" s="75" t="s">
        <v>48</v>
      </c>
      <c r="B73" s="90">
        <f t="shared" si="66"/>
        <v>31.700000000000003</v>
      </c>
      <c r="C73" s="90">
        <f t="shared" si="66"/>
        <v>2841</v>
      </c>
      <c r="D73" s="90">
        <f t="shared" si="66"/>
        <v>2470</v>
      </c>
      <c r="E73" s="90">
        <f t="shared" si="66"/>
        <v>4</v>
      </c>
      <c r="F73" s="90">
        <f t="shared" si="66"/>
        <v>62</v>
      </c>
      <c r="G73" s="90">
        <f t="shared" si="66"/>
        <v>35</v>
      </c>
      <c r="H73" s="90">
        <f t="shared" si="66"/>
        <v>2369</v>
      </c>
    </row>
    <row r="74" spans="1:8">
      <c r="A74" s="75" t="s">
        <v>12</v>
      </c>
      <c r="B74" s="91">
        <f t="shared" ref="B74:H74" si="67">B73/B72*100</f>
        <v>47.597597597597606</v>
      </c>
      <c r="C74" s="91">
        <f t="shared" si="67"/>
        <v>65.551453622519617</v>
      </c>
      <c r="D74" s="91">
        <f t="shared" si="67"/>
        <v>65.188704143573503</v>
      </c>
      <c r="E74" s="91" t="e">
        <f t="shared" si="67"/>
        <v>#DIV/0!</v>
      </c>
      <c r="F74" s="91">
        <f t="shared" si="67"/>
        <v>5.7142857142857144</v>
      </c>
      <c r="G74" s="91">
        <f t="shared" si="67"/>
        <v>10.416666666666668</v>
      </c>
      <c r="H74" s="91">
        <f t="shared" si="67"/>
        <v>100.04222972972974</v>
      </c>
    </row>
    <row r="75" spans="1:8">
      <c r="A75" s="75" t="s">
        <v>31</v>
      </c>
      <c r="B75" s="90">
        <f t="shared" ref="B75:H76" si="68">K38+S38+AK38</f>
        <v>256.60000000000002</v>
      </c>
      <c r="C75" s="90">
        <f t="shared" si="68"/>
        <v>10134</v>
      </c>
      <c r="D75" s="90">
        <f t="shared" si="68"/>
        <v>8234</v>
      </c>
      <c r="E75" s="90">
        <f t="shared" si="68"/>
        <v>591</v>
      </c>
      <c r="F75" s="90">
        <f t="shared" si="68"/>
        <v>1667</v>
      </c>
      <c r="G75" s="90">
        <f t="shared" si="68"/>
        <v>399</v>
      </c>
      <c r="H75" s="90">
        <f t="shared" si="68"/>
        <v>5577</v>
      </c>
    </row>
    <row r="76" spans="1:8">
      <c r="A76" s="75" t="s">
        <v>52</v>
      </c>
      <c r="B76" s="90">
        <f t="shared" si="68"/>
        <v>250</v>
      </c>
      <c r="C76" s="90">
        <f t="shared" si="68"/>
        <v>13015</v>
      </c>
      <c r="D76" s="90">
        <f t="shared" si="68"/>
        <v>11218</v>
      </c>
      <c r="E76" s="90">
        <f t="shared" si="68"/>
        <v>1400</v>
      </c>
      <c r="F76" s="90">
        <f t="shared" si="68"/>
        <v>1499</v>
      </c>
      <c r="G76" s="90">
        <f t="shared" si="68"/>
        <v>44</v>
      </c>
      <c r="H76" s="90">
        <f t="shared" si="68"/>
        <v>8275</v>
      </c>
    </row>
    <row r="77" spans="1:8">
      <c r="A77" s="75" t="s">
        <v>12</v>
      </c>
      <c r="B77" s="91">
        <f t="shared" ref="B77:H77" si="69">B76/B75*100</f>
        <v>97.427903351519859</v>
      </c>
      <c r="C77" s="91">
        <f t="shared" si="69"/>
        <v>128.42905072034733</v>
      </c>
      <c r="D77" s="91">
        <f t="shared" si="69"/>
        <v>136.23998056837502</v>
      </c>
      <c r="E77" s="91">
        <f t="shared" si="69"/>
        <v>236.88663282571915</v>
      </c>
      <c r="F77" s="91">
        <f t="shared" si="69"/>
        <v>89.922015596880627</v>
      </c>
      <c r="G77" s="91">
        <f t="shared" si="69"/>
        <v>11.027568922305765</v>
      </c>
      <c r="H77" s="91">
        <f t="shared" si="69"/>
        <v>148.37726376187914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70">B9-B46</f>
        <v>0</v>
      </c>
      <c r="C83" s="83">
        <f t="shared" si="70"/>
        <v>0</v>
      </c>
      <c r="D83" s="83">
        <f t="shared" si="70"/>
        <v>0</v>
      </c>
      <c r="E83" s="83">
        <f t="shared" si="70"/>
        <v>0</v>
      </c>
      <c r="F83" s="83">
        <f t="shared" si="70"/>
        <v>0</v>
      </c>
      <c r="G83" s="83">
        <f t="shared" si="70"/>
        <v>0</v>
      </c>
      <c r="H83" s="83">
        <f t="shared" si="70"/>
        <v>0</v>
      </c>
    </row>
    <row r="84" spans="1:8">
      <c r="A84" s="84" t="s">
        <v>50</v>
      </c>
      <c r="B84" s="83">
        <f t="shared" si="70"/>
        <v>0</v>
      </c>
      <c r="C84" s="83">
        <f t="shared" si="70"/>
        <v>0</v>
      </c>
      <c r="D84" s="83">
        <f t="shared" si="70"/>
        <v>0</v>
      </c>
      <c r="E84" s="83">
        <f t="shared" si="70"/>
        <v>0</v>
      </c>
      <c r="F84" s="83">
        <f t="shared" si="70"/>
        <v>0</v>
      </c>
      <c r="G84" s="83">
        <f t="shared" si="70"/>
        <v>0</v>
      </c>
      <c r="H84" s="83">
        <f t="shared" si="70"/>
        <v>0</v>
      </c>
    </row>
    <row r="85" spans="1:8">
      <c r="A85" s="85" t="s">
        <v>44</v>
      </c>
      <c r="B85" s="83">
        <f t="shared" si="70"/>
        <v>0</v>
      </c>
      <c r="C85" s="83">
        <f t="shared" si="70"/>
        <v>0</v>
      </c>
      <c r="D85" s="83">
        <f t="shared" si="70"/>
        <v>0</v>
      </c>
      <c r="E85" s="83">
        <f t="shared" si="70"/>
        <v>0</v>
      </c>
      <c r="F85" s="83">
        <f t="shared" si="70"/>
        <v>0</v>
      </c>
      <c r="G85" s="83">
        <f t="shared" si="70"/>
        <v>0</v>
      </c>
      <c r="H85" s="83">
        <f t="shared" si="70"/>
        <v>0</v>
      </c>
    </row>
    <row r="86" spans="1:8">
      <c r="A86" s="87" t="s">
        <v>11</v>
      </c>
      <c r="B86" s="83">
        <f t="shared" si="70"/>
        <v>0</v>
      </c>
      <c r="C86" s="83">
        <f t="shared" si="70"/>
        <v>0</v>
      </c>
      <c r="D86" s="83">
        <f t="shared" si="70"/>
        <v>0</v>
      </c>
      <c r="E86" s="83">
        <f t="shared" si="70"/>
        <v>0</v>
      </c>
      <c r="F86" s="83">
        <f t="shared" si="70"/>
        <v>0</v>
      </c>
      <c r="G86" s="83">
        <f t="shared" si="70"/>
        <v>0</v>
      </c>
      <c r="H86" s="83">
        <f t="shared" si="70"/>
        <v>0</v>
      </c>
    </row>
    <row r="87" spans="1:8">
      <c r="A87" s="75" t="s">
        <v>40</v>
      </c>
      <c r="B87" s="83">
        <f t="shared" si="70"/>
        <v>0</v>
      </c>
      <c r="C87" s="83">
        <f t="shared" si="70"/>
        <v>0</v>
      </c>
      <c r="D87" s="83">
        <f t="shared" si="70"/>
        <v>0</v>
      </c>
      <c r="E87" s="83">
        <f t="shared" si="70"/>
        <v>0</v>
      </c>
      <c r="F87" s="83">
        <f t="shared" si="70"/>
        <v>0</v>
      </c>
      <c r="G87" s="83">
        <f t="shared" si="70"/>
        <v>0</v>
      </c>
      <c r="H87" s="83">
        <f t="shared" si="70"/>
        <v>0</v>
      </c>
    </row>
    <row r="88" spans="1:8">
      <c r="A88" s="75" t="s">
        <v>50</v>
      </c>
      <c r="B88" s="83">
        <f t="shared" si="70"/>
        <v>0</v>
      </c>
      <c r="C88" s="83">
        <f t="shared" si="70"/>
        <v>0</v>
      </c>
      <c r="D88" s="83">
        <f t="shared" si="70"/>
        <v>0</v>
      </c>
      <c r="E88" s="83">
        <f t="shared" si="70"/>
        <v>0</v>
      </c>
      <c r="F88" s="83">
        <f t="shared" si="70"/>
        <v>0</v>
      </c>
      <c r="G88" s="83">
        <f t="shared" si="70"/>
        <v>0</v>
      </c>
      <c r="H88" s="83">
        <f t="shared" si="70"/>
        <v>0</v>
      </c>
    </row>
    <row r="89" spans="1:8">
      <c r="A89" s="75" t="s">
        <v>44</v>
      </c>
      <c r="B89" s="83">
        <f t="shared" si="70"/>
        <v>0</v>
      </c>
      <c r="C89" s="83">
        <f t="shared" si="70"/>
        <v>0</v>
      </c>
      <c r="D89" s="83">
        <f t="shared" si="70"/>
        <v>0</v>
      </c>
      <c r="E89" s="83">
        <f t="shared" si="70"/>
        <v>0</v>
      </c>
      <c r="F89" s="83">
        <f t="shared" si="70"/>
        <v>0</v>
      </c>
      <c r="G89" s="83">
        <f t="shared" si="70"/>
        <v>0</v>
      </c>
      <c r="H89" s="83">
        <f t="shared" si="70"/>
        <v>0</v>
      </c>
    </row>
    <row r="90" spans="1:8">
      <c r="A90" s="75" t="s">
        <v>13</v>
      </c>
      <c r="B90" s="83">
        <f t="shared" si="70"/>
        <v>0</v>
      </c>
      <c r="C90" s="83">
        <f t="shared" si="70"/>
        <v>0</v>
      </c>
      <c r="D90" s="83">
        <f t="shared" si="70"/>
        <v>0</v>
      </c>
      <c r="E90" s="83">
        <f t="shared" si="70"/>
        <v>0</v>
      </c>
      <c r="F90" s="83">
        <f t="shared" si="70"/>
        <v>0</v>
      </c>
      <c r="G90" s="83">
        <f t="shared" si="70"/>
        <v>0</v>
      </c>
      <c r="H90" s="83">
        <f t="shared" si="70"/>
        <v>0</v>
      </c>
    </row>
    <row r="91" spans="1:8">
      <c r="A91" s="92" t="s">
        <v>14</v>
      </c>
      <c r="B91" s="83">
        <f t="shared" si="70"/>
        <v>0</v>
      </c>
      <c r="C91" s="83">
        <f t="shared" si="70"/>
        <v>0</v>
      </c>
      <c r="D91" s="83">
        <f t="shared" si="70"/>
        <v>0</v>
      </c>
      <c r="E91" s="83">
        <f t="shared" si="70"/>
        <v>0</v>
      </c>
      <c r="F91" s="83">
        <f t="shared" si="70"/>
        <v>0</v>
      </c>
      <c r="G91" s="83">
        <f t="shared" si="70"/>
        <v>0</v>
      </c>
      <c r="H91" s="83">
        <f t="shared" si="70"/>
        <v>0</v>
      </c>
    </row>
    <row r="92" spans="1:8">
      <c r="A92" s="75" t="s">
        <v>15</v>
      </c>
      <c r="B92" s="83">
        <f t="shared" si="70"/>
        <v>0</v>
      </c>
      <c r="C92" s="83">
        <f t="shared" si="70"/>
        <v>0</v>
      </c>
      <c r="D92" s="83">
        <f t="shared" si="70"/>
        <v>0</v>
      </c>
      <c r="E92" s="83">
        <f t="shared" si="70"/>
        <v>0</v>
      </c>
      <c r="F92" s="83">
        <f t="shared" si="70"/>
        <v>0</v>
      </c>
      <c r="G92" s="83">
        <f t="shared" si="70"/>
        <v>0</v>
      </c>
      <c r="H92" s="83">
        <f t="shared" si="70"/>
        <v>0</v>
      </c>
    </row>
    <row r="93" spans="1:8">
      <c r="A93" s="87" t="s">
        <v>16</v>
      </c>
      <c r="B93" s="83">
        <f t="shared" si="70"/>
        <v>0</v>
      </c>
      <c r="C93" s="83">
        <f t="shared" si="70"/>
        <v>0</v>
      </c>
      <c r="D93" s="83">
        <f t="shared" si="70"/>
        <v>0</v>
      </c>
      <c r="E93" s="83">
        <f t="shared" si="70"/>
        <v>0</v>
      </c>
      <c r="F93" s="83">
        <f t="shared" si="70"/>
        <v>0</v>
      </c>
      <c r="G93" s="83">
        <f t="shared" si="70"/>
        <v>0</v>
      </c>
      <c r="H93" s="83">
        <f t="shared" si="70"/>
        <v>0</v>
      </c>
    </row>
    <row r="94" spans="1:8">
      <c r="A94" s="75" t="s">
        <v>40</v>
      </c>
      <c r="B94" s="83">
        <f t="shared" si="70"/>
        <v>0</v>
      </c>
      <c r="C94" s="83">
        <f t="shared" si="70"/>
        <v>0</v>
      </c>
      <c r="D94" s="83">
        <f t="shared" si="70"/>
        <v>0</v>
      </c>
      <c r="E94" s="83">
        <f t="shared" si="70"/>
        <v>0</v>
      </c>
      <c r="F94" s="83">
        <f t="shared" si="70"/>
        <v>0</v>
      </c>
      <c r="G94" s="83">
        <f t="shared" si="70"/>
        <v>0</v>
      </c>
      <c r="H94" s="83">
        <f t="shared" si="70"/>
        <v>0</v>
      </c>
    </row>
    <row r="95" spans="1:8">
      <c r="A95" s="92" t="s">
        <v>50</v>
      </c>
      <c r="B95" s="83">
        <f t="shared" si="70"/>
        <v>0</v>
      </c>
      <c r="C95" s="83">
        <f t="shared" si="70"/>
        <v>0</v>
      </c>
      <c r="D95" s="83">
        <f t="shared" si="70"/>
        <v>0</v>
      </c>
      <c r="E95" s="83">
        <f t="shared" si="70"/>
        <v>0</v>
      </c>
      <c r="F95" s="83">
        <f t="shared" si="70"/>
        <v>0</v>
      </c>
      <c r="G95" s="83">
        <f t="shared" si="70"/>
        <v>0</v>
      </c>
      <c r="H95" s="83">
        <f t="shared" si="70"/>
        <v>0</v>
      </c>
    </row>
    <row r="96" spans="1:8">
      <c r="A96" s="75" t="s">
        <v>44</v>
      </c>
      <c r="B96" s="83">
        <f t="shared" si="70"/>
        <v>0</v>
      </c>
      <c r="C96" s="83">
        <f t="shared" si="70"/>
        <v>0</v>
      </c>
      <c r="D96" s="83">
        <f t="shared" si="70"/>
        <v>0</v>
      </c>
      <c r="E96" s="83">
        <f t="shared" si="70"/>
        <v>0</v>
      </c>
      <c r="F96" s="83">
        <f t="shared" si="70"/>
        <v>0</v>
      </c>
      <c r="G96" s="83">
        <f t="shared" si="70"/>
        <v>0</v>
      </c>
      <c r="H96" s="83">
        <f t="shared" si="70"/>
        <v>0</v>
      </c>
    </row>
    <row r="97" spans="1:8">
      <c r="A97" s="75" t="s">
        <v>21</v>
      </c>
      <c r="B97" s="83">
        <f t="shared" si="70"/>
        <v>0</v>
      </c>
      <c r="C97" s="83">
        <f t="shared" si="70"/>
        <v>0</v>
      </c>
      <c r="D97" s="83">
        <f t="shared" si="70"/>
        <v>0</v>
      </c>
      <c r="E97" s="83">
        <f t="shared" si="70"/>
        <v>0</v>
      </c>
      <c r="F97" s="83">
        <f t="shared" si="70"/>
        <v>0</v>
      </c>
      <c r="G97" s="83">
        <f t="shared" si="70"/>
        <v>0</v>
      </c>
      <c r="H97" s="83">
        <f t="shared" si="70"/>
        <v>0</v>
      </c>
    </row>
    <row r="98" spans="1:8">
      <c r="A98" s="75" t="s">
        <v>51</v>
      </c>
      <c r="B98" s="83">
        <f t="shared" si="70"/>
        <v>0</v>
      </c>
      <c r="C98" s="83">
        <f t="shared" si="70"/>
        <v>0</v>
      </c>
      <c r="D98" s="83">
        <f t="shared" si="70"/>
        <v>0</v>
      </c>
      <c r="E98" s="83">
        <f t="shared" si="70"/>
        <v>0</v>
      </c>
      <c r="F98" s="83">
        <f t="shared" si="70"/>
        <v>0</v>
      </c>
      <c r="G98" s="83">
        <f t="shared" si="70"/>
        <v>0</v>
      </c>
      <c r="H98" s="83">
        <f t="shared" si="70"/>
        <v>0</v>
      </c>
    </row>
    <row r="99" spans="1:8">
      <c r="A99" s="75" t="s">
        <v>12</v>
      </c>
      <c r="B99" s="83">
        <f t="shared" ref="B99:H114" si="71">B25-B62</f>
        <v>0</v>
      </c>
      <c r="C99" s="83">
        <f t="shared" si="71"/>
        <v>0</v>
      </c>
      <c r="D99" s="83">
        <f t="shared" si="71"/>
        <v>0</v>
      </c>
      <c r="E99" s="83">
        <f t="shared" si="71"/>
        <v>0</v>
      </c>
      <c r="F99" s="83">
        <f t="shared" si="71"/>
        <v>0</v>
      </c>
      <c r="G99" s="83">
        <f t="shared" si="71"/>
        <v>0</v>
      </c>
      <c r="H99" s="83">
        <f t="shared" si="71"/>
        <v>0</v>
      </c>
    </row>
    <row r="100" spans="1:8">
      <c r="A100" s="75" t="s">
        <v>23</v>
      </c>
      <c r="B100" s="83">
        <f t="shared" si="71"/>
        <v>0</v>
      </c>
      <c r="C100" s="83">
        <f t="shared" si="71"/>
        <v>0</v>
      </c>
      <c r="D100" s="83">
        <f t="shared" si="71"/>
        <v>0</v>
      </c>
      <c r="E100" s="83">
        <f t="shared" si="71"/>
        <v>0</v>
      </c>
      <c r="F100" s="83">
        <f t="shared" si="71"/>
        <v>0</v>
      </c>
      <c r="G100" s="83">
        <f t="shared" si="71"/>
        <v>0</v>
      </c>
      <c r="H100" s="83">
        <f t="shared" si="71"/>
        <v>0</v>
      </c>
    </row>
    <row r="101" spans="1:8">
      <c r="A101" s="75" t="s">
        <v>45</v>
      </c>
      <c r="B101" s="83">
        <f t="shared" si="71"/>
        <v>0</v>
      </c>
      <c r="C101" s="83">
        <f t="shared" si="71"/>
        <v>0</v>
      </c>
      <c r="D101" s="83">
        <f t="shared" si="71"/>
        <v>0</v>
      </c>
      <c r="E101" s="83">
        <f t="shared" si="71"/>
        <v>0</v>
      </c>
      <c r="F101" s="83">
        <f t="shared" si="71"/>
        <v>0</v>
      </c>
      <c r="G101" s="83">
        <f t="shared" si="71"/>
        <v>0</v>
      </c>
      <c r="H101" s="83">
        <f t="shared" si="71"/>
        <v>0</v>
      </c>
    </row>
    <row r="102" spans="1:8">
      <c r="A102" s="75" t="s">
        <v>12</v>
      </c>
      <c r="B102" s="83">
        <f t="shared" si="71"/>
        <v>0</v>
      </c>
      <c r="C102" s="83">
        <f t="shared" si="71"/>
        <v>0</v>
      </c>
      <c r="D102" s="83">
        <f t="shared" si="71"/>
        <v>0</v>
      </c>
      <c r="E102" s="83">
        <f t="shared" si="71"/>
        <v>0</v>
      </c>
      <c r="F102" s="83">
        <f t="shared" si="71"/>
        <v>0</v>
      </c>
      <c r="G102" s="83">
        <f t="shared" si="71"/>
        <v>0</v>
      </c>
      <c r="H102" s="83">
        <f t="shared" si="71"/>
        <v>0</v>
      </c>
    </row>
    <row r="103" spans="1:8">
      <c r="A103" s="75" t="s">
        <v>25</v>
      </c>
      <c r="B103" s="83">
        <f t="shared" si="71"/>
        <v>0</v>
      </c>
      <c r="C103" s="83">
        <f t="shared" si="71"/>
        <v>0</v>
      </c>
      <c r="D103" s="83">
        <f t="shared" si="71"/>
        <v>0</v>
      </c>
      <c r="E103" s="83">
        <f t="shared" si="71"/>
        <v>0</v>
      </c>
      <c r="F103" s="83">
        <f t="shared" si="71"/>
        <v>0</v>
      </c>
      <c r="G103" s="83">
        <f t="shared" si="71"/>
        <v>0</v>
      </c>
      <c r="H103" s="83">
        <f t="shared" si="71"/>
        <v>0</v>
      </c>
    </row>
    <row r="104" spans="1:8">
      <c r="A104" s="75" t="s">
        <v>46</v>
      </c>
      <c r="B104" s="83">
        <f t="shared" si="71"/>
        <v>0</v>
      </c>
      <c r="C104" s="83">
        <f t="shared" si="71"/>
        <v>0</v>
      </c>
      <c r="D104" s="83">
        <f t="shared" si="71"/>
        <v>0</v>
      </c>
      <c r="E104" s="83">
        <f t="shared" si="71"/>
        <v>0</v>
      </c>
      <c r="F104" s="83">
        <f t="shared" si="71"/>
        <v>0</v>
      </c>
      <c r="G104" s="83">
        <f t="shared" si="71"/>
        <v>0</v>
      </c>
      <c r="H104" s="83">
        <f t="shared" si="71"/>
        <v>0</v>
      </c>
    </row>
    <row r="105" spans="1:8">
      <c r="A105" s="75" t="s">
        <v>12</v>
      </c>
      <c r="B105" s="83">
        <f t="shared" si="71"/>
        <v>0</v>
      </c>
      <c r="C105" s="83">
        <f t="shared" si="71"/>
        <v>0</v>
      </c>
      <c r="D105" s="83">
        <f t="shared" si="71"/>
        <v>0</v>
      </c>
      <c r="E105" s="83">
        <f t="shared" si="71"/>
        <v>0</v>
      </c>
      <c r="F105" s="83">
        <f t="shared" si="71"/>
        <v>0</v>
      </c>
      <c r="G105" s="83">
        <f t="shared" si="71"/>
        <v>0</v>
      </c>
      <c r="H105" s="83">
        <f t="shared" si="71"/>
        <v>0</v>
      </c>
    </row>
    <row r="106" spans="1:8">
      <c r="A106" s="75" t="s">
        <v>27</v>
      </c>
      <c r="B106" s="83">
        <f t="shared" si="71"/>
        <v>0</v>
      </c>
      <c r="C106" s="83">
        <f t="shared" si="71"/>
        <v>0</v>
      </c>
      <c r="D106" s="83">
        <f t="shared" si="71"/>
        <v>0</v>
      </c>
      <c r="E106" s="83">
        <f t="shared" si="71"/>
        <v>0</v>
      </c>
      <c r="F106" s="83">
        <f t="shared" si="71"/>
        <v>0</v>
      </c>
      <c r="G106" s="83">
        <f t="shared" si="71"/>
        <v>0</v>
      </c>
      <c r="H106" s="83">
        <f t="shared" si="71"/>
        <v>0</v>
      </c>
    </row>
    <row r="107" spans="1:8">
      <c r="A107" s="75" t="s">
        <v>47</v>
      </c>
      <c r="B107" s="83">
        <f t="shared" si="71"/>
        <v>0</v>
      </c>
      <c r="C107" s="83">
        <f t="shared" si="71"/>
        <v>0</v>
      </c>
      <c r="D107" s="83">
        <f t="shared" si="71"/>
        <v>0</v>
      </c>
      <c r="E107" s="83">
        <f t="shared" si="71"/>
        <v>0</v>
      </c>
      <c r="F107" s="83">
        <f t="shared" si="71"/>
        <v>0</v>
      </c>
      <c r="G107" s="83">
        <f t="shared" si="71"/>
        <v>0</v>
      </c>
      <c r="H107" s="83">
        <f t="shared" si="71"/>
        <v>0</v>
      </c>
    </row>
    <row r="108" spans="1:8">
      <c r="A108" s="75" t="s">
        <v>12</v>
      </c>
      <c r="B108" s="83" t="e">
        <f t="shared" si="71"/>
        <v>#DIV/0!</v>
      </c>
      <c r="C108" s="83">
        <f t="shared" si="71"/>
        <v>0</v>
      </c>
      <c r="D108" s="83">
        <f t="shared" si="71"/>
        <v>0</v>
      </c>
      <c r="E108" s="83">
        <f t="shared" si="71"/>
        <v>0</v>
      </c>
      <c r="F108" s="83">
        <f t="shared" si="71"/>
        <v>0</v>
      </c>
      <c r="G108" s="83">
        <f t="shared" si="71"/>
        <v>0</v>
      </c>
      <c r="H108" s="83">
        <f t="shared" si="71"/>
        <v>0</v>
      </c>
    </row>
    <row r="109" spans="1:8">
      <c r="A109" s="75" t="s">
        <v>29</v>
      </c>
      <c r="B109" s="83">
        <f t="shared" si="71"/>
        <v>0</v>
      </c>
      <c r="C109" s="83">
        <f t="shared" si="71"/>
        <v>0</v>
      </c>
      <c r="D109" s="83">
        <f t="shared" si="71"/>
        <v>0</v>
      </c>
      <c r="E109" s="83">
        <f t="shared" si="71"/>
        <v>0</v>
      </c>
      <c r="F109" s="83">
        <f t="shared" si="71"/>
        <v>0</v>
      </c>
      <c r="G109" s="83">
        <f t="shared" si="71"/>
        <v>0</v>
      </c>
      <c r="H109" s="83">
        <f t="shared" si="71"/>
        <v>0</v>
      </c>
    </row>
    <row r="110" spans="1:8">
      <c r="A110" s="75" t="s">
        <v>48</v>
      </c>
      <c r="B110" s="83">
        <f t="shared" si="71"/>
        <v>0</v>
      </c>
      <c r="C110" s="83">
        <f t="shared" si="71"/>
        <v>0</v>
      </c>
      <c r="D110" s="83">
        <f t="shared" si="71"/>
        <v>0</v>
      </c>
      <c r="E110" s="83">
        <f t="shared" si="71"/>
        <v>0</v>
      </c>
      <c r="F110" s="83">
        <f t="shared" si="71"/>
        <v>0</v>
      </c>
      <c r="G110" s="83">
        <f t="shared" si="71"/>
        <v>0</v>
      </c>
      <c r="H110" s="83">
        <f t="shared" si="71"/>
        <v>0</v>
      </c>
    </row>
    <row r="111" spans="1:8">
      <c r="A111" s="75" t="s">
        <v>12</v>
      </c>
      <c r="B111" s="83">
        <f t="shared" si="71"/>
        <v>0</v>
      </c>
      <c r="C111" s="83">
        <f t="shared" si="71"/>
        <v>0</v>
      </c>
      <c r="D111" s="83">
        <f t="shared" si="71"/>
        <v>0</v>
      </c>
      <c r="E111" s="83" t="e">
        <f t="shared" si="71"/>
        <v>#DIV/0!</v>
      </c>
      <c r="F111" s="83">
        <f t="shared" si="71"/>
        <v>0</v>
      </c>
      <c r="G111" s="83">
        <f t="shared" si="71"/>
        <v>0</v>
      </c>
      <c r="H111" s="83">
        <f t="shared" si="71"/>
        <v>0</v>
      </c>
    </row>
    <row r="112" spans="1:8">
      <c r="A112" s="75" t="s">
        <v>31</v>
      </c>
      <c r="B112" s="83">
        <f t="shared" si="71"/>
        <v>0</v>
      </c>
      <c r="C112" s="83">
        <f t="shared" si="71"/>
        <v>0</v>
      </c>
      <c r="D112" s="83">
        <f t="shared" si="71"/>
        <v>0</v>
      </c>
      <c r="E112" s="83">
        <f t="shared" si="71"/>
        <v>0</v>
      </c>
      <c r="F112" s="83">
        <f t="shared" si="71"/>
        <v>0</v>
      </c>
      <c r="G112" s="83">
        <f t="shared" si="71"/>
        <v>0</v>
      </c>
      <c r="H112" s="83">
        <f t="shared" si="71"/>
        <v>0</v>
      </c>
    </row>
    <row r="113" spans="1:8">
      <c r="A113" s="75" t="s">
        <v>52</v>
      </c>
      <c r="B113" s="83">
        <f t="shared" si="71"/>
        <v>0</v>
      </c>
      <c r="C113" s="83">
        <f t="shared" si="71"/>
        <v>0</v>
      </c>
      <c r="D113" s="83">
        <f t="shared" si="71"/>
        <v>0</v>
      </c>
      <c r="E113" s="83">
        <f t="shared" si="71"/>
        <v>0</v>
      </c>
      <c r="F113" s="83">
        <f t="shared" si="71"/>
        <v>0</v>
      </c>
      <c r="G113" s="83">
        <f t="shared" si="71"/>
        <v>0</v>
      </c>
      <c r="H113" s="83">
        <f t="shared" si="71"/>
        <v>0</v>
      </c>
    </row>
    <row r="114" spans="1:8">
      <c r="A114" s="75" t="s">
        <v>12</v>
      </c>
      <c r="B114" s="83">
        <f t="shared" si="71"/>
        <v>0</v>
      </c>
      <c r="C114" s="83">
        <f t="shared" si="71"/>
        <v>0</v>
      </c>
      <c r="D114" s="83">
        <f t="shared" si="71"/>
        <v>0</v>
      </c>
      <c r="E114" s="83">
        <f t="shared" si="71"/>
        <v>0</v>
      </c>
      <c r="F114" s="83">
        <f t="shared" si="71"/>
        <v>0</v>
      </c>
      <c r="G114" s="83">
        <f t="shared" si="71"/>
        <v>0</v>
      </c>
      <c r="H114" s="83">
        <f t="shared" si="71"/>
        <v>0</v>
      </c>
    </row>
  </sheetData>
  <mergeCells count="19">
    <mergeCell ref="B1:H1"/>
    <mergeCell ref="B2:H2"/>
    <mergeCell ref="A5:H5"/>
    <mergeCell ref="A4:H4"/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</mergeCells>
  <phoneticPr fontId="17" type="noConversion"/>
  <pageMargins left="0.21" right="0.16" top="0.28999999999999998" bottom="0.25" header="0.12" footer="0.1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0"/>
  <dimension ref="A1:BC114"/>
  <sheetViews>
    <sheetView zoomScale="98" zoomScaleNormal="98" workbookViewId="0">
      <selection activeCell="A9" sqref="A9:AQ40"/>
    </sheetView>
  </sheetViews>
  <sheetFormatPr defaultRowHeight="13.2"/>
  <cols>
    <col min="1" max="1" width="15.109375" customWidth="1"/>
    <col min="2" max="2" width="7.33203125" customWidth="1"/>
    <col min="3" max="3" width="8" customWidth="1"/>
    <col min="5" max="5" width="6.33203125" customWidth="1"/>
    <col min="6" max="7" width="7.6640625" customWidth="1"/>
    <col min="8" max="8" width="7.5546875" customWidth="1"/>
    <col min="9" max="9" width="5.33203125" customWidth="1"/>
    <col min="10" max="10" width="15.6640625" customWidth="1"/>
    <col min="11" max="11" width="6.6640625" customWidth="1"/>
    <col min="12" max="12" width="7.88671875" customWidth="1"/>
    <col min="14" max="14" width="7" customWidth="1"/>
    <col min="15" max="15" width="7.5546875" customWidth="1"/>
    <col min="16" max="16" width="7.6640625" customWidth="1"/>
    <col min="17" max="17" width="6.6640625" customWidth="1"/>
    <col min="18" max="18" width="15.109375" customWidth="1"/>
    <col min="19" max="19" width="7.109375" customWidth="1"/>
    <col min="20" max="20" width="7.5546875" customWidth="1"/>
    <col min="22" max="22" width="7.33203125" customWidth="1"/>
    <col min="23" max="23" width="7.5546875" customWidth="1"/>
    <col min="24" max="24" width="8" customWidth="1"/>
    <col min="25" max="25" width="7.33203125" customWidth="1"/>
    <col min="26" max="26" width="6.88671875" customWidth="1"/>
    <col min="27" max="27" width="15.109375" customWidth="1"/>
    <col min="28" max="28" width="9.109375" customWidth="1"/>
    <col min="29" max="29" width="8.33203125" customWidth="1"/>
    <col min="30" max="30" width="8" customWidth="1"/>
    <col min="31" max="31" width="8.33203125" customWidth="1"/>
    <col min="32" max="32" width="8" customWidth="1"/>
    <col min="33" max="33" width="7.88671875" customWidth="1"/>
    <col min="34" max="34" width="8" customWidth="1"/>
    <col min="36" max="36" width="14.88671875" customWidth="1"/>
  </cols>
  <sheetData>
    <row r="1" spans="1:55" s="394" customFormat="1" ht="15.6">
      <c r="A1" s="388"/>
      <c r="B1" s="476" t="s">
        <v>92</v>
      </c>
      <c r="C1" s="476"/>
      <c r="D1" s="476"/>
      <c r="E1" s="476"/>
      <c r="F1" s="476"/>
      <c r="G1" s="476"/>
      <c r="H1" s="476"/>
      <c r="Q1" s="395"/>
    </row>
    <row r="2" spans="1:55" s="394" customFormat="1" ht="15.6">
      <c r="A2" s="389"/>
      <c r="B2" s="477" t="s">
        <v>95</v>
      </c>
      <c r="C2" s="477"/>
      <c r="D2" s="477"/>
      <c r="E2" s="477"/>
      <c r="F2" s="477"/>
      <c r="G2" s="477"/>
      <c r="H2" s="477"/>
      <c r="Q2" s="395"/>
    </row>
    <row r="3" spans="1:55" s="396" customFormat="1" ht="18.75" customHeight="1">
      <c r="A3" s="389"/>
      <c r="B3" s="389"/>
      <c r="C3" s="278"/>
      <c r="D3" s="391"/>
      <c r="E3" s="392"/>
      <c r="F3" s="392"/>
      <c r="G3" s="392"/>
      <c r="H3" s="392"/>
    </row>
    <row r="4" spans="1:55" s="394" customFormat="1" ht="30" customHeight="1">
      <c r="A4" s="479" t="s">
        <v>129</v>
      </c>
      <c r="B4" s="479"/>
      <c r="C4" s="479"/>
      <c r="D4" s="479"/>
      <c r="E4" s="479"/>
      <c r="F4" s="479"/>
      <c r="G4" s="479"/>
      <c r="H4" s="479"/>
      <c r="I4" s="397"/>
      <c r="J4" s="397"/>
      <c r="K4" s="396"/>
      <c r="L4" s="396"/>
      <c r="M4" s="396"/>
      <c r="N4" s="396"/>
      <c r="O4" s="396"/>
      <c r="P4" s="396"/>
      <c r="Q4" s="396"/>
    </row>
    <row r="5" spans="1:55" s="324" customFormat="1" ht="15.6">
      <c r="A5" s="495" t="s">
        <v>99</v>
      </c>
      <c r="B5" s="495"/>
      <c r="C5" s="495"/>
      <c r="D5" s="495"/>
      <c r="E5" s="495"/>
      <c r="F5" s="495"/>
      <c r="G5" s="495"/>
      <c r="H5" s="495"/>
      <c r="J5" s="398" t="s">
        <v>36</v>
      </c>
      <c r="O5" s="398"/>
      <c r="P5" s="319"/>
      <c r="R5" s="399" t="s">
        <v>37</v>
      </c>
      <c r="W5" s="399"/>
      <c r="X5" s="399"/>
      <c r="AA5" s="400" t="s">
        <v>38</v>
      </c>
      <c r="AB5" s="400"/>
      <c r="AC5" s="400"/>
      <c r="AD5" s="400"/>
      <c r="AE5" s="400"/>
      <c r="AF5" s="400"/>
      <c r="AG5" s="400"/>
      <c r="AJ5" s="398" t="s">
        <v>58</v>
      </c>
      <c r="AO5" s="398"/>
    </row>
    <row r="6" spans="1:55" s="324" customFormat="1">
      <c r="A6" s="401" t="s">
        <v>0</v>
      </c>
      <c r="B6" s="401" t="s">
        <v>1</v>
      </c>
      <c r="C6" s="401" t="s">
        <v>2</v>
      </c>
      <c r="D6" s="401" t="s">
        <v>3</v>
      </c>
      <c r="E6" s="401" t="s">
        <v>4</v>
      </c>
      <c r="F6" s="401" t="s">
        <v>5</v>
      </c>
      <c r="G6" s="401" t="s">
        <v>6</v>
      </c>
      <c r="H6" s="401" t="s">
        <v>7</v>
      </c>
      <c r="I6" s="402"/>
      <c r="J6" s="403" t="s">
        <v>0</v>
      </c>
      <c r="K6" s="403" t="s">
        <v>1</v>
      </c>
      <c r="L6" s="403" t="s">
        <v>2</v>
      </c>
      <c r="M6" s="403" t="s">
        <v>3</v>
      </c>
      <c r="N6" s="403" t="s">
        <v>4</v>
      </c>
      <c r="O6" s="403" t="s">
        <v>5</v>
      </c>
      <c r="P6" s="403" t="s">
        <v>6</v>
      </c>
      <c r="Q6" s="403" t="s">
        <v>7</v>
      </c>
      <c r="R6" s="403" t="s">
        <v>0</v>
      </c>
      <c r="S6" s="403" t="s">
        <v>1</v>
      </c>
      <c r="T6" s="403" t="s">
        <v>2</v>
      </c>
      <c r="U6" s="403" t="s">
        <v>3</v>
      </c>
      <c r="V6" s="403" t="s">
        <v>4</v>
      </c>
      <c r="W6" s="403" t="s">
        <v>5</v>
      </c>
      <c r="X6" s="403" t="s">
        <v>6</v>
      </c>
      <c r="Y6" s="403" t="s">
        <v>7</v>
      </c>
      <c r="Z6" s="402"/>
      <c r="AA6" s="403" t="s">
        <v>0</v>
      </c>
      <c r="AB6" s="403" t="s">
        <v>1</v>
      </c>
      <c r="AC6" s="403" t="s">
        <v>2</v>
      </c>
      <c r="AD6" s="403" t="s">
        <v>3</v>
      </c>
      <c r="AE6" s="403" t="s">
        <v>4</v>
      </c>
      <c r="AF6" s="403" t="s">
        <v>5</v>
      </c>
      <c r="AG6" s="403" t="s">
        <v>6</v>
      </c>
      <c r="AH6" s="403" t="s">
        <v>7</v>
      </c>
      <c r="AI6" s="402"/>
      <c r="AJ6" s="403" t="s">
        <v>0</v>
      </c>
      <c r="AK6" s="404" t="s">
        <v>1</v>
      </c>
      <c r="AL6" s="403" t="s">
        <v>2</v>
      </c>
      <c r="AM6" s="403" t="s">
        <v>3</v>
      </c>
      <c r="AN6" s="403" t="s">
        <v>4</v>
      </c>
      <c r="AO6" s="403" t="s">
        <v>5</v>
      </c>
      <c r="AP6" s="403" t="s">
        <v>6</v>
      </c>
      <c r="AQ6" s="403" t="s">
        <v>7</v>
      </c>
      <c r="AR6" s="402"/>
      <c r="AS6" s="402"/>
      <c r="AT6" s="402"/>
      <c r="AU6" s="402"/>
      <c r="AV6" s="402"/>
      <c r="AW6" s="402"/>
      <c r="AX6" s="402"/>
      <c r="AY6" s="402"/>
      <c r="AZ6" s="402"/>
      <c r="BA6" s="402"/>
      <c r="BB6" s="402"/>
      <c r="BC6" s="402"/>
    </row>
    <row r="7" spans="1:55" s="324" customFormat="1">
      <c r="A7" s="405"/>
      <c r="B7" s="406" t="s">
        <v>8</v>
      </c>
      <c r="C7" s="406" t="s">
        <v>9</v>
      </c>
      <c r="D7" s="406" t="s">
        <v>10</v>
      </c>
      <c r="E7" s="406" t="s">
        <v>9</v>
      </c>
      <c r="F7" s="406" t="s">
        <v>9</v>
      </c>
      <c r="G7" s="406" t="s">
        <v>9</v>
      </c>
      <c r="H7" s="406" t="s">
        <v>9</v>
      </c>
      <c r="I7" s="402"/>
      <c r="J7" s="407"/>
      <c r="K7" s="407" t="s">
        <v>8</v>
      </c>
      <c r="L7" s="407" t="s">
        <v>9</v>
      </c>
      <c r="M7" s="407" t="s">
        <v>10</v>
      </c>
      <c r="N7" s="407" t="s">
        <v>9</v>
      </c>
      <c r="O7" s="407" t="s">
        <v>9</v>
      </c>
      <c r="P7" s="407" t="s">
        <v>9</v>
      </c>
      <c r="Q7" s="407" t="s">
        <v>9</v>
      </c>
      <c r="R7" s="407"/>
      <c r="S7" s="407" t="s">
        <v>8</v>
      </c>
      <c r="T7" s="407" t="s">
        <v>9</v>
      </c>
      <c r="U7" s="407" t="s">
        <v>10</v>
      </c>
      <c r="V7" s="407" t="s">
        <v>9</v>
      </c>
      <c r="W7" s="407" t="s">
        <v>9</v>
      </c>
      <c r="X7" s="407" t="s">
        <v>9</v>
      </c>
      <c r="Y7" s="407" t="s">
        <v>9</v>
      </c>
      <c r="Z7" s="402"/>
      <c r="AA7" s="407"/>
      <c r="AB7" s="407" t="s">
        <v>8</v>
      </c>
      <c r="AC7" s="407" t="s">
        <v>9</v>
      </c>
      <c r="AD7" s="407" t="s">
        <v>10</v>
      </c>
      <c r="AE7" s="407" t="s">
        <v>9</v>
      </c>
      <c r="AF7" s="407" t="s">
        <v>9</v>
      </c>
      <c r="AG7" s="407" t="s">
        <v>9</v>
      </c>
      <c r="AH7" s="407" t="s">
        <v>9</v>
      </c>
      <c r="AI7" s="402"/>
      <c r="AJ7" s="407"/>
      <c r="AK7" s="408" t="s">
        <v>8</v>
      </c>
      <c r="AL7" s="407" t="s">
        <v>9</v>
      </c>
      <c r="AM7" s="407" t="s">
        <v>10</v>
      </c>
      <c r="AN7" s="407" t="s">
        <v>9</v>
      </c>
      <c r="AO7" s="407" t="s">
        <v>9</v>
      </c>
      <c r="AP7" s="407" t="s">
        <v>9</v>
      </c>
      <c r="AQ7" s="407" t="s">
        <v>9</v>
      </c>
      <c r="AR7" s="402"/>
      <c r="AS7" s="402"/>
      <c r="AT7" s="402"/>
      <c r="AU7" s="402"/>
      <c r="AV7" s="402"/>
      <c r="AW7" s="402"/>
      <c r="AX7" s="402"/>
      <c r="AY7" s="402"/>
      <c r="AZ7" s="402"/>
      <c r="BA7" s="402"/>
      <c r="BB7" s="402"/>
      <c r="BC7" s="402"/>
    </row>
    <row r="8" spans="1:55" s="319" customFormat="1">
      <c r="A8" s="497" t="s">
        <v>17</v>
      </c>
      <c r="B8" s="497"/>
      <c r="C8" s="497"/>
      <c r="D8" s="497"/>
      <c r="E8" s="497"/>
      <c r="F8" s="497"/>
      <c r="G8" s="497"/>
      <c r="H8" s="497"/>
      <c r="J8" s="496" t="s">
        <v>17</v>
      </c>
      <c r="K8" s="496"/>
      <c r="L8" s="496"/>
      <c r="M8" s="496"/>
      <c r="N8" s="496"/>
      <c r="O8" s="496"/>
      <c r="P8" s="496"/>
      <c r="Q8" s="496"/>
      <c r="R8" s="496" t="s">
        <v>17</v>
      </c>
      <c r="S8" s="496"/>
      <c r="T8" s="496"/>
      <c r="U8" s="496"/>
      <c r="V8" s="496"/>
      <c r="W8" s="496"/>
      <c r="X8" s="496"/>
      <c r="Y8" s="496"/>
      <c r="AA8" s="496" t="s">
        <v>17</v>
      </c>
      <c r="AB8" s="496"/>
      <c r="AC8" s="496"/>
      <c r="AD8" s="496"/>
      <c r="AE8" s="496"/>
      <c r="AF8" s="496"/>
      <c r="AG8" s="496"/>
      <c r="AH8" s="496"/>
      <c r="AJ8" s="496" t="s">
        <v>17</v>
      </c>
      <c r="AK8" s="496"/>
      <c r="AL8" s="496"/>
      <c r="AM8" s="496"/>
      <c r="AN8" s="496"/>
      <c r="AO8" s="496"/>
      <c r="AP8" s="496"/>
      <c r="AQ8" s="496"/>
    </row>
    <row r="9" spans="1:55" s="319" customFormat="1">
      <c r="A9" s="304" t="s">
        <v>18</v>
      </c>
      <c r="B9" s="305">
        <f t="shared" ref="B9:H10" si="0">K9+S9+AK9</f>
        <v>521.82999999999993</v>
      </c>
      <c r="C9" s="306">
        <f t="shared" si="0"/>
        <v>27020</v>
      </c>
      <c r="D9" s="306">
        <f t="shared" si="0"/>
        <v>22650.5</v>
      </c>
      <c r="E9" s="306">
        <f t="shared" si="0"/>
        <v>3352</v>
      </c>
      <c r="F9" s="306">
        <f t="shared" si="0"/>
        <v>4427.5</v>
      </c>
      <c r="G9" s="306">
        <f t="shared" si="0"/>
        <v>844</v>
      </c>
      <c r="H9" s="306">
        <f t="shared" si="0"/>
        <v>13603</v>
      </c>
      <c r="I9" s="307"/>
      <c r="J9" s="308" t="s">
        <v>18</v>
      </c>
      <c r="K9" s="305">
        <f t="shared" ref="K9:Q10" si="1">K13+K20</f>
        <v>272.77999999999997</v>
      </c>
      <c r="L9" s="304">
        <f t="shared" si="1"/>
        <v>13235.5</v>
      </c>
      <c r="M9" s="304">
        <f t="shared" si="1"/>
        <v>10788.5</v>
      </c>
      <c r="N9" s="304">
        <f t="shared" si="1"/>
        <v>877</v>
      </c>
      <c r="O9" s="304">
        <f t="shared" si="1"/>
        <v>2791.5</v>
      </c>
      <c r="P9" s="304">
        <f t="shared" si="1"/>
        <v>550.5</v>
      </c>
      <c r="Q9" s="309">
        <f t="shared" si="1"/>
        <v>6275.5</v>
      </c>
      <c r="R9" s="310" t="s">
        <v>18</v>
      </c>
      <c r="S9" s="305">
        <f t="shared" ref="S9:Y10" si="2">S13+S20</f>
        <v>249.05</v>
      </c>
      <c r="T9" s="304">
        <f t="shared" si="2"/>
        <v>13784.5</v>
      </c>
      <c r="U9" s="304">
        <f t="shared" si="2"/>
        <v>11862</v>
      </c>
      <c r="V9" s="304">
        <f t="shared" si="2"/>
        <v>2475</v>
      </c>
      <c r="W9" s="304">
        <f t="shared" si="2"/>
        <v>1636</v>
      </c>
      <c r="X9" s="304">
        <f t="shared" si="2"/>
        <v>293.5</v>
      </c>
      <c r="Y9" s="304">
        <f t="shared" si="2"/>
        <v>7327.5</v>
      </c>
      <c r="Z9" s="311"/>
      <c r="AA9" s="304" t="s">
        <v>18</v>
      </c>
      <c r="AB9" s="305">
        <f t="shared" ref="AB9:AH10" si="3">AB13+AB20</f>
        <v>99.88</v>
      </c>
      <c r="AC9" s="304">
        <f t="shared" si="3"/>
        <v>7277</v>
      </c>
      <c r="AD9" s="304">
        <f t="shared" si="3"/>
        <v>6126</v>
      </c>
      <c r="AE9" s="304">
        <f t="shared" si="3"/>
        <v>2267</v>
      </c>
      <c r="AF9" s="304">
        <f t="shared" si="3"/>
        <v>304.5</v>
      </c>
      <c r="AG9" s="304">
        <f t="shared" si="3"/>
        <v>88</v>
      </c>
      <c r="AH9" s="304">
        <f t="shared" si="3"/>
        <v>3410.5</v>
      </c>
      <c r="AI9" s="311"/>
      <c r="AJ9" s="304" t="s">
        <v>18</v>
      </c>
      <c r="AK9" s="305">
        <f t="shared" ref="AK9:AQ10" si="4">AK13+AK20</f>
        <v>0</v>
      </c>
      <c r="AL9" s="304">
        <f t="shared" si="4"/>
        <v>0</v>
      </c>
      <c r="AM9" s="304">
        <f t="shared" si="4"/>
        <v>0</v>
      </c>
      <c r="AN9" s="304">
        <f t="shared" si="4"/>
        <v>0</v>
      </c>
      <c r="AO9" s="304">
        <f t="shared" si="4"/>
        <v>0</v>
      </c>
      <c r="AP9" s="304">
        <f t="shared" si="4"/>
        <v>0</v>
      </c>
      <c r="AQ9" s="304">
        <f t="shared" si="4"/>
        <v>0</v>
      </c>
    </row>
    <row r="10" spans="1:55" s="319" customFormat="1">
      <c r="A10" s="312" t="s">
        <v>19</v>
      </c>
      <c r="B10" s="409">
        <f t="shared" si="0"/>
        <v>684</v>
      </c>
      <c r="C10" s="313">
        <f t="shared" si="0"/>
        <v>30710</v>
      </c>
      <c r="D10" s="313">
        <f t="shared" si="0"/>
        <v>28421</v>
      </c>
      <c r="E10" s="313">
        <f t="shared" si="0"/>
        <v>3149</v>
      </c>
      <c r="F10" s="313">
        <f t="shared" si="0"/>
        <v>1132</v>
      </c>
      <c r="G10" s="313">
        <f t="shared" si="0"/>
        <v>99</v>
      </c>
      <c r="H10" s="313">
        <f t="shared" si="0"/>
        <v>24041</v>
      </c>
      <c r="I10" s="307"/>
      <c r="J10" s="314" t="s">
        <v>19</v>
      </c>
      <c r="K10" s="315">
        <f t="shared" si="1"/>
        <v>366.1</v>
      </c>
      <c r="L10" s="316">
        <f t="shared" si="1"/>
        <v>16978</v>
      </c>
      <c r="M10" s="316">
        <f t="shared" si="1"/>
        <v>15560</v>
      </c>
      <c r="N10" s="316">
        <f t="shared" si="1"/>
        <v>1871</v>
      </c>
      <c r="O10" s="316">
        <f t="shared" si="1"/>
        <v>997</v>
      </c>
      <c r="P10" s="316">
        <f t="shared" si="1"/>
        <v>78</v>
      </c>
      <c r="Q10" s="317">
        <f t="shared" si="1"/>
        <v>12614</v>
      </c>
      <c r="R10" s="318" t="s">
        <v>19</v>
      </c>
      <c r="S10" s="315">
        <f t="shared" si="2"/>
        <v>312</v>
      </c>
      <c r="T10" s="316">
        <f t="shared" si="2"/>
        <v>13589</v>
      </c>
      <c r="U10" s="316">
        <f t="shared" si="2"/>
        <v>12753</v>
      </c>
      <c r="V10" s="316">
        <f t="shared" si="2"/>
        <v>1274</v>
      </c>
      <c r="W10" s="316">
        <f t="shared" si="2"/>
        <v>130</v>
      </c>
      <c r="X10" s="316">
        <f t="shared" si="2"/>
        <v>21</v>
      </c>
      <c r="Y10" s="316">
        <f t="shared" si="2"/>
        <v>11328</v>
      </c>
      <c r="AA10" s="320" t="s">
        <v>19</v>
      </c>
      <c r="AB10" s="315">
        <f t="shared" si="3"/>
        <v>87.600000000000009</v>
      </c>
      <c r="AC10" s="316">
        <f t="shared" si="3"/>
        <v>4540</v>
      </c>
      <c r="AD10" s="316">
        <f t="shared" si="3"/>
        <v>4263</v>
      </c>
      <c r="AE10" s="316">
        <f t="shared" si="3"/>
        <v>989</v>
      </c>
      <c r="AF10" s="316">
        <f t="shared" si="3"/>
        <v>59</v>
      </c>
      <c r="AG10" s="316">
        <f t="shared" si="3"/>
        <v>18</v>
      </c>
      <c r="AH10" s="316">
        <f t="shared" si="3"/>
        <v>3197</v>
      </c>
      <c r="AJ10" s="320" t="s">
        <v>19</v>
      </c>
      <c r="AK10" s="315">
        <f t="shared" si="4"/>
        <v>5.8999999999999995</v>
      </c>
      <c r="AL10" s="315">
        <f t="shared" si="4"/>
        <v>143</v>
      </c>
      <c r="AM10" s="315">
        <f t="shared" si="4"/>
        <v>108</v>
      </c>
      <c r="AN10" s="315">
        <f t="shared" si="4"/>
        <v>4</v>
      </c>
      <c r="AO10" s="315">
        <f t="shared" si="4"/>
        <v>5</v>
      </c>
      <c r="AP10" s="315">
        <f t="shared" si="4"/>
        <v>0</v>
      </c>
      <c r="AQ10" s="315">
        <f t="shared" si="4"/>
        <v>99</v>
      </c>
    </row>
    <row r="11" spans="1:55" s="319" customFormat="1">
      <c r="A11" s="312" t="s">
        <v>20</v>
      </c>
      <c r="B11" s="313">
        <f t="shared" ref="B11:H11" si="5">B10/B9*100</f>
        <v>131.07717072609856</v>
      </c>
      <c r="C11" s="313">
        <f t="shared" si="5"/>
        <v>113.65655070318283</v>
      </c>
      <c r="D11" s="313">
        <f t="shared" si="5"/>
        <v>125.47625880223394</v>
      </c>
      <c r="E11" s="313">
        <f t="shared" si="5"/>
        <v>93.943914081145579</v>
      </c>
      <c r="F11" s="313">
        <f t="shared" si="5"/>
        <v>25.567476002258609</v>
      </c>
      <c r="G11" s="313">
        <f t="shared" si="5"/>
        <v>11.729857819905213</v>
      </c>
      <c r="H11" s="313">
        <f t="shared" si="5"/>
        <v>176.73307358670883</v>
      </c>
      <c r="I11" s="307"/>
      <c r="J11" s="314" t="s">
        <v>20</v>
      </c>
      <c r="K11" s="321">
        <f t="shared" ref="K11:Q11" si="6">K10/K9*100</f>
        <v>134.21071926094291</v>
      </c>
      <c r="L11" s="321">
        <f t="shared" si="6"/>
        <v>128.27622681424955</v>
      </c>
      <c r="M11" s="321">
        <f t="shared" si="6"/>
        <v>144.22764981230014</v>
      </c>
      <c r="N11" s="321">
        <f t="shared" si="6"/>
        <v>213.34093500570125</v>
      </c>
      <c r="O11" s="321">
        <f t="shared" si="6"/>
        <v>35.715565108364679</v>
      </c>
      <c r="P11" s="321">
        <f t="shared" si="6"/>
        <v>14.168937329700274</v>
      </c>
      <c r="Q11" s="322">
        <f t="shared" si="6"/>
        <v>201.00390407138872</v>
      </c>
      <c r="R11" s="318" t="s">
        <v>20</v>
      </c>
      <c r="S11" s="321">
        <f t="shared" ref="S11:Y11" si="7">S10/S9*100</f>
        <v>125.27604898614734</v>
      </c>
      <c r="T11" s="321">
        <f t="shared" si="7"/>
        <v>98.581740360549901</v>
      </c>
      <c r="U11" s="321">
        <f t="shared" si="7"/>
        <v>107.51138088012139</v>
      </c>
      <c r="V11" s="321">
        <f t="shared" si="7"/>
        <v>51.474747474747474</v>
      </c>
      <c r="W11" s="321">
        <f t="shared" si="7"/>
        <v>7.946210268948656</v>
      </c>
      <c r="X11" s="321">
        <f t="shared" si="7"/>
        <v>7.1550255536626919</v>
      </c>
      <c r="Y11" s="321">
        <f t="shared" si="7"/>
        <v>154.5957011258956</v>
      </c>
      <c r="AA11" s="320" t="s">
        <v>20</v>
      </c>
      <c r="AB11" s="321">
        <f t="shared" ref="AB11:AH11" si="8">AB10/AB9*100</f>
        <v>87.705246295554673</v>
      </c>
      <c r="AC11" s="321">
        <f t="shared" si="8"/>
        <v>62.38834684622784</v>
      </c>
      <c r="AD11" s="321">
        <f t="shared" si="8"/>
        <v>69.588638589618029</v>
      </c>
      <c r="AE11" s="321">
        <f t="shared" si="8"/>
        <v>43.625937362152619</v>
      </c>
      <c r="AF11" s="321">
        <f t="shared" si="8"/>
        <v>19.376026272577999</v>
      </c>
      <c r="AG11" s="321">
        <f t="shared" si="8"/>
        <v>20.454545454545457</v>
      </c>
      <c r="AH11" s="321">
        <f t="shared" si="8"/>
        <v>93.739920832722476</v>
      </c>
      <c r="AJ11" s="320" t="s">
        <v>20</v>
      </c>
      <c r="AK11" s="321" t="e">
        <f t="shared" ref="AK11:AQ11" si="9">AK10/AK9*100</f>
        <v>#DIV/0!</v>
      </c>
      <c r="AL11" s="321" t="e">
        <f t="shared" si="9"/>
        <v>#DIV/0!</v>
      </c>
      <c r="AM11" s="321" t="e">
        <f t="shared" si="9"/>
        <v>#DIV/0!</v>
      </c>
      <c r="AN11" s="321" t="e">
        <f t="shared" si="9"/>
        <v>#DIV/0!</v>
      </c>
      <c r="AO11" s="321" t="e">
        <f t="shared" si="9"/>
        <v>#DIV/0!</v>
      </c>
      <c r="AP11" s="321" t="e">
        <f t="shared" si="9"/>
        <v>#DIV/0!</v>
      </c>
      <c r="AQ11" s="321" t="e">
        <f t="shared" si="9"/>
        <v>#DIV/0!</v>
      </c>
    </row>
    <row r="12" spans="1:55" s="324" customFormat="1" ht="12.75" customHeight="1">
      <c r="A12" s="498" t="s">
        <v>11</v>
      </c>
      <c r="B12" s="499"/>
      <c r="C12" s="499"/>
      <c r="D12" s="499"/>
      <c r="E12" s="499"/>
      <c r="F12" s="499"/>
      <c r="G12" s="499"/>
      <c r="H12" s="500"/>
      <c r="I12" s="323"/>
      <c r="J12" s="501" t="s">
        <v>11</v>
      </c>
      <c r="K12" s="502"/>
      <c r="L12" s="502"/>
      <c r="M12" s="502"/>
      <c r="N12" s="502"/>
      <c r="O12" s="502"/>
      <c r="P12" s="502"/>
      <c r="Q12" s="503"/>
      <c r="R12" s="504" t="s">
        <v>11</v>
      </c>
      <c r="S12" s="505"/>
      <c r="T12" s="505"/>
      <c r="U12" s="505"/>
      <c r="V12" s="505"/>
      <c r="W12" s="505"/>
      <c r="X12" s="505"/>
      <c r="Y12" s="506"/>
      <c r="AA12" s="507" t="s">
        <v>11</v>
      </c>
      <c r="AB12" s="505"/>
      <c r="AC12" s="505"/>
      <c r="AD12" s="505"/>
      <c r="AE12" s="505"/>
      <c r="AF12" s="505"/>
      <c r="AG12" s="505"/>
      <c r="AH12" s="506"/>
      <c r="AJ12" s="508" t="s">
        <v>11</v>
      </c>
      <c r="AK12" s="502"/>
      <c r="AL12" s="502"/>
      <c r="AM12" s="502"/>
      <c r="AN12" s="502"/>
      <c r="AO12" s="502"/>
      <c r="AP12" s="502"/>
      <c r="AQ12" s="509"/>
    </row>
    <row r="13" spans="1:55" s="324" customFormat="1">
      <c r="A13" s="325" t="s">
        <v>18</v>
      </c>
      <c r="B13" s="326">
        <f t="shared" ref="B13:H14" si="10">K13+S13+AK13</f>
        <v>78.969999999999985</v>
      </c>
      <c r="C13" s="325">
        <f t="shared" si="10"/>
        <v>5329.5</v>
      </c>
      <c r="D13" s="325">
        <f t="shared" si="10"/>
        <v>4141</v>
      </c>
      <c r="E13" s="325">
        <f t="shared" si="10"/>
        <v>1389</v>
      </c>
      <c r="F13" s="325">
        <f t="shared" si="10"/>
        <v>1510.5</v>
      </c>
      <c r="G13" s="325">
        <f t="shared" si="10"/>
        <v>247</v>
      </c>
      <c r="H13" s="325">
        <f t="shared" si="10"/>
        <v>853</v>
      </c>
      <c r="I13" s="327"/>
      <c r="J13" s="328" t="s">
        <v>18</v>
      </c>
      <c r="K13" s="326">
        <v>60.039999999999978</v>
      </c>
      <c r="L13" s="329">
        <v>3759</v>
      </c>
      <c r="M13" s="329">
        <v>2858</v>
      </c>
      <c r="N13" s="329">
        <v>530.5</v>
      </c>
      <c r="O13" s="329">
        <v>1444.5</v>
      </c>
      <c r="P13" s="329">
        <v>230</v>
      </c>
      <c r="Q13" s="330">
        <v>524.5</v>
      </c>
      <c r="R13" s="331" t="s">
        <v>18</v>
      </c>
      <c r="S13" s="332">
        <v>18.930000000000003</v>
      </c>
      <c r="T13" s="333">
        <v>1570.5</v>
      </c>
      <c r="U13" s="333">
        <v>1283</v>
      </c>
      <c r="V13" s="333">
        <v>858.5</v>
      </c>
      <c r="W13" s="333">
        <v>66</v>
      </c>
      <c r="X13" s="333">
        <v>17</v>
      </c>
      <c r="Y13" s="333">
        <v>328.5</v>
      </c>
      <c r="Z13" s="278"/>
      <c r="AA13" s="325" t="s">
        <v>18</v>
      </c>
      <c r="AB13" s="332">
        <v>17.380000000000003</v>
      </c>
      <c r="AC13" s="333">
        <v>1464</v>
      </c>
      <c r="AD13" s="333">
        <v>1197</v>
      </c>
      <c r="AE13" s="333">
        <v>802.5</v>
      </c>
      <c r="AF13" s="333">
        <v>61.5</v>
      </c>
      <c r="AG13" s="333">
        <v>16</v>
      </c>
      <c r="AH13" s="333">
        <v>304.5</v>
      </c>
      <c r="AI13" s="278"/>
      <c r="AJ13" s="325" t="s">
        <v>18</v>
      </c>
      <c r="AK13" s="325">
        <v>0</v>
      </c>
      <c r="AL13" s="325">
        <v>0</v>
      </c>
      <c r="AM13" s="325">
        <f>AN13+AO13+AP13+AQ13</f>
        <v>0</v>
      </c>
      <c r="AN13" s="325">
        <v>0</v>
      </c>
      <c r="AO13" s="325">
        <v>0</v>
      </c>
      <c r="AP13" s="325">
        <v>0</v>
      </c>
      <c r="AQ13" s="325">
        <v>0</v>
      </c>
    </row>
    <row r="14" spans="1:55" s="324" customFormat="1">
      <c r="A14" s="334" t="s">
        <v>19</v>
      </c>
      <c r="B14" s="335">
        <f t="shared" si="10"/>
        <v>57.199999999999996</v>
      </c>
      <c r="C14" s="336">
        <f t="shared" si="10"/>
        <v>3923</v>
      </c>
      <c r="D14" s="336">
        <f t="shared" si="10"/>
        <v>3417</v>
      </c>
      <c r="E14" s="336">
        <f t="shared" si="10"/>
        <v>1091</v>
      </c>
      <c r="F14" s="336">
        <f t="shared" si="10"/>
        <v>756</v>
      </c>
      <c r="G14" s="336">
        <f t="shared" si="10"/>
        <v>18</v>
      </c>
      <c r="H14" s="336">
        <f t="shared" si="10"/>
        <v>1552</v>
      </c>
      <c r="I14" s="337"/>
      <c r="J14" s="338" t="s">
        <v>19</v>
      </c>
      <c r="K14" s="339">
        <v>50.6</v>
      </c>
      <c r="L14" s="339">
        <v>3523</v>
      </c>
      <c r="M14" s="334">
        <v>3087</v>
      </c>
      <c r="N14" s="339">
        <v>931</v>
      </c>
      <c r="O14" s="339">
        <v>709</v>
      </c>
      <c r="P14" s="339">
        <v>18</v>
      </c>
      <c r="Q14" s="340">
        <v>1429</v>
      </c>
      <c r="R14" s="341" t="s">
        <v>19</v>
      </c>
      <c r="S14" s="339">
        <v>4.8</v>
      </c>
      <c r="T14" s="339">
        <v>335</v>
      </c>
      <c r="U14" s="334">
        <v>279</v>
      </c>
      <c r="V14" s="339">
        <v>158</v>
      </c>
      <c r="W14" s="339">
        <v>45</v>
      </c>
      <c r="X14" s="339">
        <v>0</v>
      </c>
      <c r="Y14" s="339">
        <v>76</v>
      </c>
      <c r="AA14" s="339" t="s">
        <v>19</v>
      </c>
      <c r="AB14" s="339">
        <v>4</v>
      </c>
      <c r="AC14" s="339">
        <v>292</v>
      </c>
      <c r="AD14" s="334">
        <v>241</v>
      </c>
      <c r="AE14" s="339">
        <v>149</v>
      </c>
      <c r="AF14" s="339">
        <v>37</v>
      </c>
      <c r="AG14" s="339">
        <v>0</v>
      </c>
      <c r="AH14" s="339">
        <v>55</v>
      </c>
      <c r="AJ14" s="339" t="s">
        <v>19</v>
      </c>
      <c r="AK14" s="339">
        <v>1.8</v>
      </c>
      <c r="AL14" s="339">
        <v>65</v>
      </c>
      <c r="AM14" s="334">
        <v>51</v>
      </c>
      <c r="AN14" s="339">
        <v>2</v>
      </c>
      <c r="AO14" s="339">
        <v>2</v>
      </c>
      <c r="AP14" s="339">
        <v>0</v>
      </c>
      <c r="AQ14" s="339">
        <v>47</v>
      </c>
    </row>
    <row r="15" spans="1:55" s="324" customFormat="1">
      <c r="A15" s="334" t="s">
        <v>20</v>
      </c>
      <c r="B15" s="336">
        <f t="shared" ref="B15:H15" si="11">B14/B13*100</f>
        <v>72.432569330125375</v>
      </c>
      <c r="C15" s="336">
        <f t="shared" si="11"/>
        <v>73.609156581292794</v>
      </c>
      <c r="D15" s="336">
        <f t="shared" si="11"/>
        <v>82.516300410528856</v>
      </c>
      <c r="E15" s="336">
        <f t="shared" si="11"/>
        <v>78.545716342692586</v>
      </c>
      <c r="F15" s="336">
        <f t="shared" si="11"/>
        <v>50.049652432969218</v>
      </c>
      <c r="G15" s="336">
        <f t="shared" si="11"/>
        <v>7.2874493927125501</v>
      </c>
      <c r="H15" s="336">
        <f t="shared" si="11"/>
        <v>181.94607268464244</v>
      </c>
      <c r="I15" s="337"/>
      <c r="J15" s="338" t="s">
        <v>20</v>
      </c>
      <c r="K15" s="342">
        <f t="shared" ref="K15:Q15" si="12">K14/K13*100</f>
        <v>84.277148567621623</v>
      </c>
      <c r="L15" s="342">
        <f t="shared" si="12"/>
        <v>93.721734503857419</v>
      </c>
      <c r="M15" s="342">
        <f t="shared" si="12"/>
        <v>108.01259622113366</v>
      </c>
      <c r="N15" s="342">
        <f t="shared" si="12"/>
        <v>175.49481621112159</v>
      </c>
      <c r="O15" s="342">
        <f t="shared" si="12"/>
        <v>49.082727587400484</v>
      </c>
      <c r="P15" s="342">
        <f t="shared" si="12"/>
        <v>7.8260869565217401</v>
      </c>
      <c r="Q15" s="343">
        <f t="shared" si="12"/>
        <v>272.44995233555767</v>
      </c>
      <c r="R15" s="341" t="s">
        <v>20</v>
      </c>
      <c r="S15" s="342">
        <f t="shared" ref="S15:Y15" si="13">S14/S13*100</f>
        <v>25.35657686212361</v>
      </c>
      <c r="T15" s="342">
        <f t="shared" si="13"/>
        <v>21.330786373766315</v>
      </c>
      <c r="U15" s="342">
        <f t="shared" si="13"/>
        <v>21.745908028059237</v>
      </c>
      <c r="V15" s="342">
        <f t="shared" si="13"/>
        <v>18.404193360512522</v>
      </c>
      <c r="W15" s="342">
        <f t="shared" si="13"/>
        <v>68.181818181818173</v>
      </c>
      <c r="X15" s="342">
        <f t="shared" si="13"/>
        <v>0</v>
      </c>
      <c r="Y15" s="342">
        <f t="shared" si="13"/>
        <v>23.135464231354639</v>
      </c>
      <c r="AA15" s="339" t="s">
        <v>20</v>
      </c>
      <c r="AB15" s="342">
        <f t="shared" ref="AB15:AH15" si="14">AB14/AB13*100</f>
        <v>23.014959723820478</v>
      </c>
      <c r="AC15" s="342">
        <f t="shared" si="14"/>
        <v>19.94535519125683</v>
      </c>
      <c r="AD15" s="342">
        <f t="shared" si="14"/>
        <v>20.133667502088553</v>
      </c>
      <c r="AE15" s="342">
        <f t="shared" si="14"/>
        <v>18.566978193146415</v>
      </c>
      <c r="AF15" s="342">
        <f t="shared" si="14"/>
        <v>60.162601626016269</v>
      </c>
      <c r="AG15" s="342">
        <f t="shared" si="14"/>
        <v>0</v>
      </c>
      <c r="AH15" s="342">
        <f t="shared" si="14"/>
        <v>18.0623973727422</v>
      </c>
      <c r="AJ15" s="339" t="s">
        <v>20</v>
      </c>
      <c r="AK15" s="342" t="e">
        <f t="shared" ref="AK15:AQ15" si="15">AK14/AK13*100</f>
        <v>#DIV/0!</v>
      </c>
      <c r="AL15" s="342" t="e">
        <f t="shared" si="15"/>
        <v>#DIV/0!</v>
      </c>
      <c r="AM15" s="342" t="e">
        <f t="shared" si="15"/>
        <v>#DIV/0!</v>
      </c>
      <c r="AN15" s="342" t="e">
        <f t="shared" si="15"/>
        <v>#DIV/0!</v>
      </c>
      <c r="AO15" s="342" t="e">
        <f t="shared" si="15"/>
        <v>#DIV/0!</v>
      </c>
      <c r="AP15" s="342" t="e">
        <f t="shared" si="15"/>
        <v>#DIV/0!</v>
      </c>
      <c r="AQ15" s="342" t="e">
        <f t="shared" si="15"/>
        <v>#DIV/0!</v>
      </c>
    </row>
    <row r="16" spans="1:55" s="324" customFormat="1">
      <c r="A16" s="334" t="s">
        <v>13</v>
      </c>
      <c r="B16" s="335">
        <f t="shared" ref="B16:H18" si="16">K16+S16+AK16</f>
        <v>22.199999999999996</v>
      </c>
      <c r="C16" s="334">
        <f t="shared" si="16"/>
        <v>1606</v>
      </c>
      <c r="D16" s="334">
        <f t="shared" si="16"/>
        <v>1344</v>
      </c>
      <c r="E16" s="334">
        <f t="shared" si="16"/>
        <v>530</v>
      </c>
      <c r="F16" s="334">
        <f t="shared" si="16"/>
        <v>357</v>
      </c>
      <c r="G16" s="334">
        <f t="shared" si="16"/>
        <v>3</v>
      </c>
      <c r="H16" s="334">
        <f t="shared" si="16"/>
        <v>454</v>
      </c>
      <c r="I16" s="327"/>
      <c r="J16" s="338" t="s">
        <v>13</v>
      </c>
      <c r="K16" s="339">
        <v>19.399999999999999</v>
      </c>
      <c r="L16" s="339">
        <v>1481</v>
      </c>
      <c r="M16" s="334">
        <v>1252</v>
      </c>
      <c r="N16" s="339">
        <v>499</v>
      </c>
      <c r="O16" s="339">
        <v>350</v>
      </c>
      <c r="P16" s="339">
        <v>3</v>
      </c>
      <c r="Q16" s="340">
        <v>400</v>
      </c>
      <c r="R16" s="341" t="s">
        <v>13</v>
      </c>
      <c r="S16" s="339">
        <v>1.4</v>
      </c>
      <c r="T16" s="339">
        <v>73</v>
      </c>
      <c r="U16" s="334">
        <v>54</v>
      </c>
      <c r="V16" s="339">
        <v>29</v>
      </c>
      <c r="W16" s="339">
        <v>6</v>
      </c>
      <c r="X16" s="339">
        <v>0</v>
      </c>
      <c r="Y16" s="339">
        <v>19</v>
      </c>
      <c r="AA16" s="339" t="s">
        <v>13</v>
      </c>
      <c r="AB16" s="339">
        <v>1.3</v>
      </c>
      <c r="AC16" s="339">
        <v>72</v>
      </c>
      <c r="AD16" s="334">
        <v>53</v>
      </c>
      <c r="AE16" s="339">
        <v>29</v>
      </c>
      <c r="AF16" s="339">
        <v>6</v>
      </c>
      <c r="AG16" s="339">
        <v>0</v>
      </c>
      <c r="AH16" s="339">
        <v>18</v>
      </c>
      <c r="AJ16" s="339" t="s">
        <v>13</v>
      </c>
      <c r="AK16" s="339">
        <v>1.4</v>
      </c>
      <c r="AL16" s="339">
        <v>52</v>
      </c>
      <c r="AM16" s="334">
        <v>38</v>
      </c>
      <c r="AN16" s="339">
        <v>2</v>
      </c>
      <c r="AO16" s="339">
        <v>1</v>
      </c>
      <c r="AP16" s="339">
        <v>0</v>
      </c>
      <c r="AQ16" s="339">
        <v>35</v>
      </c>
    </row>
    <row r="17" spans="1:43" s="324" customFormat="1">
      <c r="A17" s="334" t="s">
        <v>14</v>
      </c>
      <c r="B17" s="335">
        <f t="shared" si="16"/>
        <v>7.9</v>
      </c>
      <c r="C17" s="334">
        <f t="shared" si="16"/>
        <v>586</v>
      </c>
      <c r="D17" s="334">
        <f t="shared" si="16"/>
        <v>517</v>
      </c>
      <c r="E17" s="334">
        <f t="shared" si="16"/>
        <v>118</v>
      </c>
      <c r="F17" s="334">
        <f t="shared" si="16"/>
        <v>126</v>
      </c>
      <c r="G17" s="334">
        <f t="shared" si="16"/>
        <v>11</v>
      </c>
      <c r="H17" s="334">
        <f t="shared" si="16"/>
        <v>262</v>
      </c>
      <c r="I17" s="327"/>
      <c r="J17" s="338" t="s">
        <v>14</v>
      </c>
      <c r="K17" s="339">
        <v>7.9</v>
      </c>
      <c r="L17" s="339">
        <v>586</v>
      </c>
      <c r="M17" s="334">
        <v>517</v>
      </c>
      <c r="N17" s="339">
        <v>118</v>
      </c>
      <c r="O17" s="339">
        <v>126</v>
      </c>
      <c r="P17" s="339">
        <v>11</v>
      </c>
      <c r="Q17" s="340">
        <v>262</v>
      </c>
      <c r="R17" s="341" t="s">
        <v>14</v>
      </c>
      <c r="S17" s="339">
        <v>0</v>
      </c>
      <c r="T17" s="339">
        <v>0</v>
      </c>
      <c r="U17" s="334">
        <f t="shared" ref="U17:U18" si="17">SUM(V17:Y17)</f>
        <v>0</v>
      </c>
      <c r="V17" s="339">
        <v>0</v>
      </c>
      <c r="W17" s="339">
        <v>0</v>
      </c>
      <c r="X17" s="339">
        <v>0</v>
      </c>
      <c r="Y17" s="339">
        <v>0</v>
      </c>
      <c r="AA17" s="339" t="s">
        <v>14</v>
      </c>
      <c r="AB17" s="339">
        <v>0</v>
      </c>
      <c r="AC17" s="339">
        <v>0</v>
      </c>
      <c r="AD17" s="334">
        <v>0</v>
      </c>
      <c r="AE17" s="339">
        <v>0</v>
      </c>
      <c r="AF17" s="339">
        <v>0</v>
      </c>
      <c r="AG17" s="339">
        <v>0</v>
      </c>
      <c r="AH17" s="339">
        <v>0</v>
      </c>
      <c r="AJ17" s="339" t="s">
        <v>14</v>
      </c>
      <c r="AK17" s="339"/>
      <c r="AL17" s="339"/>
      <c r="AM17" s="334"/>
      <c r="AN17" s="339"/>
      <c r="AO17" s="339"/>
      <c r="AP17" s="339"/>
      <c r="AQ17" s="339"/>
    </row>
    <row r="18" spans="1:43" s="324" customFormat="1">
      <c r="A18" s="334" t="s">
        <v>15</v>
      </c>
      <c r="B18" s="335">
        <f t="shared" si="16"/>
        <v>0</v>
      </c>
      <c r="C18" s="334">
        <f t="shared" si="16"/>
        <v>0</v>
      </c>
      <c r="D18" s="334">
        <f t="shared" si="16"/>
        <v>0</v>
      </c>
      <c r="E18" s="334">
        <f t="shared" si="16"/>
        <v>0</v>
      </c>
      <c r="F18" s="334">
        <f t="shared" si="16"/>
        <v>0</v>
      </c>
      <c r="G18" s="334">
        <f t="shared" si="16"/>
        <v>0</v>
      </c>
      <c r="H18" s="334">
        <f t="shared" si="16"/>
        <v>0</v>
      </c>
      <c r="I18" s="327"/>
      <c r="J18" s="338" t="s">
        <v>15</v>
      </c>
      <c r="K18" s="339">
        <v>0</v>
      </c>
      <c r="L18" s="339">
        <v>0</v>
      </c>
      <c r="M18" s="334">
        <v>0</v>
      </c>
      <c r="N18" s="339">
        <v>0</v>
      </c>
      <c r="O18" s="339">
        <v>0</v>
      </c>
      <c r="P18" s="339">
        <v>0</v>
      </c>
      <c r="Q18" s="340">
        <v>0</v>
      </c>
      <c r="R18" s="341" t="s">
        <v>15</v>
      </c>
      <c r="S18" s="339">
        <v>0</v>
      </c>
      <c r="T18" s="339">
        <v>0</v>
      </c>
      <c r="U18" s="334">
        <f t="shared" si="17"/>
        <v>0</v>
      </c>
      <c r="V18" s="339">
        <v>0</v>
      </c>
      <c r="W18" s="339">
        <v>0</v>
      </c>
      <c r="X18" s="339">
        <v>0</v>
      </c>
      <c r="Y18" s="339">
        <v>0</v>
      </c>
      <c r="AA18" s="339" t="s">
        <v>15</v>
      </c>
      <c r="AB18" s="339">
        <v>0</v>
      </c>
      <c r="AC18" s="339">
        <v>0</v>
      </c>
      <c r="AD18" s="334">
        <v>0</v>
      </c>
      <c r="AE18" s="339">
        <v>0</v>
      </c>
      <c r="AF18" s="339">
        <v>0</v>
      </c>
      <c r="AG18" s="339">
        <v>0</v>
      </c>
      <c r="AH18" s="339">
        <v>0</v>
      </c>
      <c r="AJ18" s="339" t="s">
        <v>15</v>
      </c>
      <c r="AK18" s="339"/>
      <c r="AL18" s="339"/>
      <c r="AM18" s="334"/>
      <c r="AN18" s="339"/>
      <c r="AO18" s="339"/>
      <c r="AP18" s="339"/>
      <c r="AQ18" s="339"/>
    </row>
    <row r="19" spans="1:43" s="324" customFormat="1">
      <c r="A19" s="498" t="s">
        <v>16</v>
      </c>
      <c r="B19" s="499"/>
      <c r="C19" s="499"/>
      <c r="D19" s="499"/>
      <c r="E19" s="499"/>
      <c r="F19" s="499"/>
      <c r="G19" s="499"/>
      <c r="H19" s="500"/>
      <c r="I19" s="323"/>
      <c r="J19" s="501" t="s">
        <v>16</v>
      </c>
      <c r="K19" s="502"/>
      <c r="L19" s="502"/>
      <c r="M19" s="502"/>
      <c r="N19" s="502"/>
      <c r="O19" s="502"/>
      <c r="P19" s="502"/>
      <c r="Q19" s="503"/>
      <c r="R19" s="501" t="s">
        <v>16</v>
      </c>
      <c r="S19" s="502"/>
      <c r="T19" s="502"/>
      <c r="U19" s="502"/>
      <c r="V19" s="502"/>
      <c r="W19" s="502"/>
      <c r="X19" s="502"/>
      <c r="Y19" s="509"/>
      <c r="AA19" s="508" t="s">
        <v>16</v>
      </c>
      <c r="AB19" s="502"/>
      <c r="AC19" s="502"/>
      <c r="AD19" s="502"/>
      <c r="AE19" s="502"/>
      <c r="AF19" s="502"/>
      <c r="AG19" s="502"/>
      <c r="AH19" s="509"/>
      <c r="AJ19" s="508" t="s">
        <v>16</v>
      </c>
      <c r="AK19" s="502"/>
      <c r="AL19" s="502"/>
      <c r="AM19" s="502"/>
      <c r="AN19" s="502"/>
      <c r="AO19" s="502"/>
      <c r="AP19" s="502"/>
      <c r="AQ19" s="509"/>
    </row>
    <row r="20" spans="1:43" s="324" customFormat="1">
      <c r="A20" s="325" t="s">
        <v>18</v>
      </c>
      <c r="B20" s="326">
        <f t="shared" ref="B20:H21" si="18">K20+S20+AK20</f>
        <v>442.86</v>
      </c>
      <c r="C20" s="329">
        <f t="shared" si="18"/>
        <v>21690.5</v>
      </c>
      <c r="D20" s="329">
        <f t="shared" si="18"/>
        <v>18509.5</v>
      </c>
      <c r="E20" s="329">
        <f t="shared" si="18"/>
        <v>1963</v>
      </c>
      <c r="F20" s="329">
        <f t="shared" si="18"/>
        <v>2917</v>
      </c>
      <c r="G20" s="329">
        <f t="shared" si="18"/>
        <v>597</v>
      </c>
      <c r="H20" s="329">
        <f t="shared" si="18"/>
        <v>12750</v>
      </c>
      <c r="I20" s="337"/>
      <c r="J20" s="328" t="s">
        <v>18</v>
      </c>
      <c r="K20" s="326">
        <f t="shared" ref="K20:Q21" si="19">K23+K26+K29+K32+K35+K38</f>
        <v>212.74</v>
      </c>
      <c r="L20" s="325">
        <f t="shared" si="19"/>
        <v>9476.5</v>
      </c>
      <c r="M20" s="325">
        <f t="shared" si="19"/>
        <v>7930.5</v>
      </c>
      <c r="N20" s="325">
        <f t="shared" si="19"/>
        <v>346.5</v>
      </c>
      <c r="O20" s="325">
        <f t="shared" si="19"/>
        <v>1347</v>
      </c>
      <c r="P20" s="325">
        <f t="shared" si="19"/>
        <v>320.5</v>
      </c>
      <c r="Q20" s="325">
        <f t="shared" si="19"/>
        <v>5751</v>
      </c>
      <c r="R20" s="331" t="s">
        <v>18</v>
      </c>
      <c r="S20" s="326">
        <f t="shared" ref="S20:Y21" si="20">S23+S26+S29+S32+S35+S38</f>
        <v>230.12</v>
      </c>
      <c r="T20" s="325">
        <f t="shared" si="20"/>
        <v>12214</v>
      </c>
      <c r="U20" s="325">
        <f t="shared" si="20"/>
        <v>10579</v>
      </c>
      <c r="V20" s="325">
        <f t="shared" si="20"/>
        <v>1616.5</v>
      </c>
      <c r="W20" s="325">
        <f t="shared" si="20"/>
        <v>1570</v>
      </c>
      <c r="X20" s="325">
        <f t="shared" si="20"/>
        <v>276.5</v>
      </c>
      <c r="Y20" s="325">
        <f t="shared" si="20"/>
        <v>6999</v>
      </c>
      <c r="Z20" s="278"/>
      <c r="AA20" s="325" t="s">
        <v>18</v>
      </c>
      <c r="AB20" s="326">
        <f t="shared" ref="AB20:AH21" si="21">AB23+AB26+AB29+AB32+AB35+AB38</f>
        <v>82.5</v>
      </c>
      <c r="AC20" s="325">
        <f t="shared" si="21"/>
        <v>5813</v>
      </c>
      <c r="AD20" s="325">
        <f t="shared" si="21"/>
        <v>4929</v>
      </c>
      <c r="AE20" s="325">
        <f t="shared" si="21"/>
        <v>1464.5</v>
      </c>
      <c r="AF20" s="325">
        <f t="shared" si="21"/>
        <v>243</v>
      </c>
      <c r="AG20" s="325">
        <f t="shared" si="21"/>
        <v>72</v>
      </c>
      <c r="AH20" s="325">
        <f t="shared" si="21"/>
        <v>3106</v>
      </c>
      <c r="AI20" s="278"/>
      <c r="AJ20" s="325" t="s">
        <v>18</v>
      </c>
      <c r="AK20" s="326">
        <f t="shared" ref="AK20:AQ21" si="22">AK23+AK26+AK29+AK32+AK35+AK38</f>
        <v>0</v>
      </c>
      <c r="AL20" s="325">
        <f t="shared" si="22"/>
        <v>0</v>
      </c>
      <c r="AM20" s="325">
        <f t="shared" si="22"/>
        <v>0</v>
      </c>
      <c r="AN20" s="325">
        <f t="shared" si="22"/>
        <v>0</v>
      </c>
      <c r="AO20" s="325">
        <f t="shared" si="22"/>
        <v>0</v>
      </c>
      <c r="AP20" s="325">
        <f t="shared" si="22"/>
        <v>0</v>
      </c>
      <c r="AQ20" s="325">
        <f t="shared" si="22"/>
        <v>0</v>
      </c>
    </row>
    <row r="21" spans="1:43" s="324" customFormat="1">
      <c r="A21" s="334" t="s">
        <v>19</v>
      </c>
      <c r="B21" s="335">
        <f t="shared" si="18"/>
        <v>626.80000000000007</v>
      </c>
      <c r="C21" s="336">
        <f t="shared" si="18"/>
        <v>26787</v>
      </c>
      <c r="D21" s="336">
        <f t="shared" si="18"/>
        <v>25004</v>
      </c>
      <c r="E21" s="336">
        <f t="shared" si="18"/>
        <v>2058</v>
      </c>
      <c r="F21" s="336">
        <f t="shared" si="18"/>
        <v>376</v>
      </c>
      <c r="G21" s="336">
        <f t="shared" si="18"/>
        <v>81</v>
      </c>
      <c r="H21" s="336">
        <f t="shared" si="18"/>
        <v>22489</v>
      </c>
      <c r="I21" s="337"/>
      <c r="J21" s="338" t="s">
        <v>19</v>
      </c>
      <c r="K21" s="344">
        <f>K24+K27+K30+K33+K36+K39</f>
        <v>315.5</v>
      </c>
      <c r="L21" s="344">
        <f t="shared" si="19"/>
        <v>13455</v>
      </c>
      <c r="M21" s="344">
        <f t="shared" si="19"/>
        <v>12473</v>
      </c>
      <c r="N21" s="344">
        <f t="shared" si="19"/>
        <v>940</v>
      </c>
      <c r="O21" s="344">
        <f t="shared" si="19"/>
        <v>288</v>
      </c>
      <c r="P21" s="344">
        <f t="shared" si="19"/>
        <v>60</v>
      </c>
      <c r="Q21" s="344">
        <f t="shared" si="19"/>
        <v>11185</v>
      </c>
      <c r="R21" s="341" t="s">
        <v>19</v>
      </c>
      <c r="S21" s="344">
        <f t="shared" si="20"/>
        <v>307.2</v>
      </c>
      <c r="T21" s="345">
        <f t="shared" si="20"/>
        <v>13254</v>
      </c>
      <c r="U21" s="345">
        <f t="shared" si="20"/>
        <v>12474</v>
      </c>
      <c r="V21" s="345">
        <f t="shared" si="20"/>
        <v>1116</v>
      </c>
      <c r="W21" s="345">
        <f t="shared" si="20"/>
        <v>85</v>
      </c>
      <c r="X21" s="345">
        <f t="shared" si="20"/>
        <v>21</v>
      </c>
      <c r="Y21" s="345">
        <f t="shared" si="20"/>
        <v>11252</v>
      </c>
      <c r="AA21" s="339" t="s">
        <v>19</v>
      </c>
      <c r="AB21" s="345">
        <f t="shared" si="21"/>
        <v>83.600000000000009</v>
      </c>
      <c r="AC21" s="345">
        <f t="shared" si="21"/>
        <v>4248</v>
      </c>
      <c r="AD21" s="345">
        <f t="shared" si="21"/>
        <v>4022</v>
      </c>
      <c r="AE21" s="345">
        <f t="shared" si="21"/>
        <v>840</v>
      </c>
      <c r="AF21" s="345">
        <f t="shared" si="21"/>
        <v>22</v>
      </c>
      <c r="AG21" s="345">
        <f t="shared" si="21"/>
        <v>18</v>
      </c>
      <c r="AH21" s="345">
        <f t="shared" si="21"/>
        <v>3142</v>
      </c>
      <c r="AJ21" s="339" t="s">
        <v>19</v>
      </c>
      <c r="AK21" s="345">
        <f>AK24+AK27+AK30+AK33+AK36+AK39</f>
        <v>4.0999999999999996</v>
      </c>
      <c r="AL21" s="345">
        <f t="shared" si="22"/>
        <v>78</v>
      </c>
      <c r="AM21" s="345">
        <f t="shared" si="22"/>
        <v>57</v>
      </c>
      <c r="AN21" s="345">
        <f t="shared" si="22"/>
        <v>2</v>
      </c>
      <c r="AO21" s="345">
        <f t="shared" si="22"/>
        <v>3</v>
      </c>
      <c r="AP21" s="345">
        <f t="shared" si="22"/>
        <v>0</v>
      </c>
      <c r="AQ21" s="345">
        <f t="shared" si="22"/>
        <v>52</v>
      </c>
    </row>
    <row r="22" spans="1:43" s="324" customFormat="1">
      <c r="A22" s="334" t="s">
        <v>20</v>
      </c>
      <c r="B22" s="336">
        <f t="shared" ref="B22:H22" si="23">B21/B20*100</f>
        <v>141.53457074470487</v>
      </c>
      <c r="C22" s="336">
        <f t="shared" si="23"/>
        <v>123.49646158456467</v>
      </c>
      <c r="D22" s="336">
        <f t="shared" si="23"/>
        <v>135.08738755774061</v>
      </c>
      <c r="E22" s="336">
        <f t="shared" si="23"/>
        <v>104.83953132959756</v>
      </c>
      <c r="F22" s="336">
        <f t="shared" si="23"/>
        <v>12.889955433664724</v>
      </c>
      <c r="G22" s="336">
        <f t="shared" si="23"/>
        <v>13.5678391959799</v>
      </c>
      <c r="H22" s="336">
        <f t="shared" si="23"/>
        <v>176.38431372549019</v>
      </c>
      <c r="I22" s="337"/>
      <c r="J22" s="338" t="s">
        <v>20</v>
      </c>
      <c r="K22" s="342">
        <f t="shared" ref="K22:Q22" si="24">K21/K20*100</f>
        <v>148.30309297734323</v>
      </c>
      <c r="L22" s="342">
        <f t="shared" si="24"/>
        <v>141.9827995567984</v>
      </c>
      <c r="M22" s="342">
        <f t="shared" si="24"/>
        <v>157.27886009709351</v>
      </c>
      <c r="N22" s="342">
        <f t="shared" si="24"/>
        <v>271.28427128427131</v>
      </c>
      <c r="O22" s="342">
        <f t="shared" si="24"/>
        <v>21.380846325167038</v>
      </c>
      <c r="P22" s="342">
        <f t="shared" si="24"/>
        <v>18.720748829953198</v>
      </c>
      <c r="Q22" s="343">
        <f t="shared" si="24"/>
        <v>194.48791514519215</v>
      </c>
      <c r="R22" s="341" t="s">
        <v>20</v>
      </c>
      <c r="S22" s="342">
        <f t="shared" ref="S22:Y22" si="25">S21/S20*100</f>
        <v>133.49556752998436</v>
      </c>
      <c r="T22" s="342">
        <f t="shared" si="25"/>
        <v>108.51481906009496</v>
      </c>
      <c r="U22" s="346">
        <f t="shared" si="25"/>
        <v>117.91284620474525</v>
      </c>
      <c r="V22" s="342">
        <f t="shared" si="25"/>
        <v>69.038045159294768</v>
      </c>
      <c r="W22" s="342">
        <f t="shared" si="25"/>
        <v>5.4140127388535033</v>
      </c>
      <c r="X22" s="342">
        <f t="shared" si="25"/>
        <v>7.59493670886076</v>
      </c>
      <c r="Y22" s="342">
        <f t="shared" si="25"/>
        <v>160.76582368909845</v>
      </c>
      <c r="AA22" s="339" t="s">
        <v>20</v>
      </c>
      <c r="AB22" s="342">
        <f t="shared" ref="AB22:AH22" si="26">AB21/AB20*100</f>
        <v>101.33333333333334</v>
      </c>
      <c r="AC22" s="342">
        <f t="shared" si="26"/>
        <v>73.077584723894716</v>
      </c>
      <c r="AD22" s="342">
        <f t="shared" si="26"/>
        <v>81.598701562182995</v>
      </c>
      <c r="AE22" s="342">
        <f t="shared" si="26"/>
        <v>57.357459883919425</v>
      </c>
      <c r="AF22" s="342">
        <f t="shared" si="26"/>
        <v>9.0534979423868318</v>
      </c>
      <c r="AG22" s="342">
        <f t="shared" si="26"/>
        <v>25</v>
      </c>
      <c r="AH22" s="342">
        <f t="shared" si="26"/>
        <v>101.15904700579523</v>
      </c>
      <c r="AJ22" s="339" t="s">
        <v>20</v>
      </c>
      <c r="AK22" s="342" t="e">
        <f t="shared" ref="AK22:AQ22" si="27">AK21/AK20*100</f>
        <v>#DIV/0!</v>
      </c>
      <c r="AL22" s="342" t="e">
        <f t="shared" si="27"/>
        <v>#DIV/0!</v>
      </c>
      <c r="AM22" s="342" t="e">
        <f t="shared" si="27"/>
        <v>#DIV/0!</v>
      </c>
      <c r="AN22" s="342" t="e">
        <f t="shared" si="27"/>
        <v>#DIV/0!</v>
      </c>
      <c r="AO22" s="342" t="e">
        <f t="shared" si="27"/>
        <v>#DIV/0!</v>
      </c>
      <c r="AP22" s="342" t="e">
        <f t="shared" si="27"/>
        <v>#DIV/0!</v>
      </c>
      <c r="AQ22" s="342" t="e">
        <f t="shared" si="27"/>
        <v>#DIV/0!</v>
      </c>
    </row>
    <row r="23" spans="1:43" s="324" customFormat="1">
      <c r="A23" s="325" t="s">
        <v>21</v>
      </c>
      <c r="B23" s="326">
        <f t="shared" ref="B23:H24" si="28">K23+S23+AK23</f>
        <v>201.26</v>
      </c>
      <c r="C23" s="325">
        <f t="shared" si="28"/>
        <v>11664</v>
      </c>
      <c r="D23" s="325">
        <f t="shared" si="28"/>
        <v>9809</v>
      </c>
      <c r="E23" s="325">
        <f t="shared" si="28"/>
        <v>1533</v>
      </c>
      <c r="F23" s="325">
        <f t="shared" si="28"/>
        <v>1230.5</v>
      </c>
      <c r="G23" s="325">
        <f t="shared" si="28"/>
        <v>289</v>
      </c>
      <c r="H23" s="325">
        <f t="shared" si="28"/>
        <v>6572.5</v>
      </c>
      <c r="I23" s="327"/>
      <c r="J23" s="328" t="s">
        <v>21</v>
      </c>
      <c r="K23" s="332">
        <v>134.45000000000002</v>
      </c>
      <c r="L23" s="333">
        <v>6801.5</v>
      </c>
      <c r="M23" s="333">
        <v>5682</v>
      </c>
      <c r="N23" s="333">
        <v>307</v>
      </c>
      <c r="O23" s="333">
        <v>949.5</v>
      </c>
      <c r="P23" s="333">
        <v>226</v>
      </c>
      <c r="Q23" s="333">
        <v>4060.5</v>
      </c>
      <c r="R23" s="331" t="s">
        <v>21</v>
      </c>
      <c r="S23" s="332">
        <v>66.809999999999988</v>
      </c>
      <c r="T23" s="333">
        <v>4862.5</v>
      </c>
      <c r="U23" s="333">
        <v>4127</v>
      </c>
      <c r="V23" s="333">
        <v>1226</v>
      </c>
      <c r="W23" s="333">
        <v>281</v>
      </c>
      <c r="X23" s="333">
        <v>63</v>
      </c>
      <c r="Y23" s="333">
        <v>2512</v>
      </c>
      <c r="Z23" s="278"/>
      <c r="AA23" s="325" t="s">
        <v>21</v>
      </c>
      <c r="AB23" s="332">
        <v>57.529999999999994</v>
      </c>
      <c r="AC23" s="333">
        <v>4353.5</v>
      </c>
      <c r="AD23" s="333">
        <v>3698.5</v>
      </c>
      <c r="AE23" s="333">
        <v>1178</v>
      </c>
      <c r="AF23" s="333">
        <v>175</v>
      </c>
      <c r="AG23" s="333">
        <v>51.5</v>
      </c>
      <c r="AH23" s="333">
        <v>2256.5</v>
      </c>
      <c r="AI23" s="278"/>
      <c r="AJ23" s="325" t="s">
        <v>21</v>
      </c>
      <c r="AK23" s="326"/>
      <c r="AL23" s="325"/>
      <c r="AM23" s="325"/>
      <c r="AN23" s="325"/>
      <c r="AO23" s="325"/>
      <c r="AP23" s="325"/>
      <c r="AQ23" s="325"/>
    </row>
    <row r="24" spans="1:43" s="324" customFormat="1">
      <c r="A24" s="334" t="s">
        <v>22</v>
      </c>
      <c r="B24" s="335">
        <f t="shared" si="28"/>
        <v>302.3</v>
      </c>
      <c r="C24" s="334">
        <f t="shared" si="28"/>
        <v>10771</v>
      </c>
      <c r="D24" s="334">
        <f t="shared" si="28"/>
        <v>10163</v>
      </c>
      <c r="E24" s="334">
        <f t="shared" si="28"/>
        <v>1106</v>
      </c>
      <c r="F24" s="334">
        <f t="shared" si="28"/>
        <v>57</v>
      </c>
      <c r="G24" s="334">
        <f t="shared" si="28"/>
        <v>24</v>
      </c>
      <c r="H24" s="334">
        <f t="shared" si="28"/>
        <v>8976</v>
      </c>
      <c r="I24" s="327"/>
      <c r="J24" s="338" t="s">
        <v>22</v>
      </c>
      <c r="K24" s="339">
        <v>189.5</v>
      </c>
      <c r="L24" s="339">
        <v>5685</v>
      </c>
      <c r="M24" s="334">
        <v>5399</v>
      </c>
      <c r="N24" s="339">
        <v>252</v>
      </c>
      <c r="O24" s="339">
        <v>20</v>
      </c>
      <c r="P24" s="339">
        <v>8</v>
      </c>
      <c r="Q24" s="340">
        <v>5119</v>
      </c>
      <c r="R24" s="341" t="s">
        <v>22</v>
      </c>
      <c r="S24" s="339">
        <v>112.8</v>
      </c>
      <c r="T24" s="339">
        <v>5086</v>
      </c>
      <c r="U24" s="334">
        <v>4764</v>
      </c>
      <c r="V24" s="339">
        <v>854</v>
      </c>
      <c r="W24" s="339">
        <v>37</v>
      </c>
      <c r="X24" s="339">
        <v>16</v>
      </c>
      <c r="Y24" s="339">
        <v>3857</v>
      </c>
      <c r="AA24" s="339" t="s">
        <v>22</v>
      </c>
      <c r="AB24" s="339">
        <v>62</v>
      </c>
      <c r="AC24" s="339">
        <v>3420</v>
      </c>
      <c r="AD24" s="336">
        <v>3228</v>
      </c>
      <c r="AE24" s="339">
        <v>760</v>
      </c>
      <c r="AF24" s="339">
        <v>14</v>
      </c>
      <c r="AG24" s="339">
        <v>15</v>
      </c>
      <c r="AH24" s="339">
        <v>2439</v>
      </c>
      <c r="AJ24" s="339" t="s">
        <v>22</v>
      </c>
      <c r="AK24" s="339"/>
      <c r="AL24" s="339"/>
      <c r="AM24" s="334"/>
      <c r="AN24" s="339"/>
      <c r="AO24" s="339"/>
      <c r="AP24" s="339"/>
      <c r="AQ24" s="339"/>
    </row>
    <row r="25" spans="1:43" s="324" customFormat="1">
      <c r="A25" s="334" t="s">
        <v>12</v>
      </c>
      <c r="B25" s="336">
        <f t="shared" ref="B25:H25" si="29">B24/B23*100</f>
        <v>150.20371658551127</v>
      </c>
      <c r="C25" s="336">
        <f t="shared" si="29"/>
        <v>92.343964334705078</v>
      </c>
      <c r="D25" s="336">
        <f t="shared" si="29"/>
        <v>103.60893057396268</v>
      </c>
      <c r="E25" s="336">
        <f t="shared" si="29"/>
        <v>72.146118721461178</v>
      </c>
      <c r="F25" s="336">
        <f t="shared" si="29"/>
        <v>4.6322633075985369</v>
      </c>
      <c r="G25" s="336">
        <f t="shared" si="29"/>
        <v>8.3044982698961931</v>
      </c>
      <c r="H25" s="336">
        <f t="shared" si="29"/>
        <v>136.56903765690376</v>
      </c>
      <c r="I25" s="337"/>
      <c r="J25" s="338" t="s">
        <v>12</v>
      </c>
      <c r="K25" s="342">
        <f t="shared" ref="K25:Q25" si="30">K24/K23*100</f>
        <v>140.94458906656749</v>
      </c>
      <c r="L25" s="342">
        <f t="shared" si="30"/>
        <v>83.584503418363596</v>
      </c>
      <c r="M25" s="342">
        <f t="shared" si="30"/>
        <v>95.019359380499822</v>
      </c>
      <c r="N25" s="342">
        <f t="shared" si="30"/>
        <v>82.084690553745929</v>
      </c>
      <c r="O25" s="342">
        <f t="shared" si="30"/>
        <v>2.10637177461822</v>
      </c>
      <c r="P25" s="342">
        <f t="shared" si="30"/>
        <v>3.5398230088495577</v>
      </c>
      <c r="Q25" s="343">
        <f t="shared" si="30"/>
        <v>126.06821819972909</v>
      </c>
      <c r="R25" s="341" t="s">
        <v>12</v>
      </c>
      <c r="S25" s="342">
        <f t="shared" ref="S25:Y25" si="31">S24/S23*100</f>
        <v>168.8370004490346</v>
      </c>
      <c r="T25" s="342">
        <f t="shared" si="31"/>
        <v>104.59640102827763</v>
      </c>
      <c r="U25" s="342">
        <f t="shared" si="31"/>
        <v>115.43494063484371</v>
      </c>
      <c r="V25" s="342">
        <f t="shared" si="31"/>
        <v>69.657422512234916</v>
      </c>
      <c r="W25" s="342">
        <f t="shared" si="31"/>
        <v>13.167259786476867</v>
      </c>
      <c r="X25" s="342">
        <f t="shared" si="31"/>
        <v>25.396825396825395</v>
      </c>
      <c r="Y25" s="342">
        <f t="shared" si="31"/>
        <v>153.54299363057325</v>
      </c>
      <c r="AA25" s="339" t="s">
        <v>12</v>
      </c>
      <c r="AB25" s="342">
        <f t="shared" ref="AB25:AH25" si="32">AB24/AB23*100</f>
        <v>107.76985920389363</v>
      </c>
      <c r="AC25" s="342">
        <f t="shared" si="32"/>
        <v>78.557482485356616</v>
      </c>
      <c r="AD25" s="342">
        <f t="shared" si="32"/>
        <v>87.27862647019063</v>
      </c>
      <c r="AE25" s="342">
        <f t="shared" si="32"/>
        <v>64.516129032258064</v>
      </c>
      <c r="AF25" s="342">
        <f t="shared" si="32"/>
        <v>8</v>
      </c>
      <c r="AG25" s="342">
        <f t="shared" si="32"/>
        <v>29.126213592233007</v>
      </c>
      <c r="AH25" s="342">
        <f t="shared" si="32"/>
        <v>108.087746510082</v>
      </c>
      <c r="AJ25" s="339" t="s">
        <v>12</v>
      </c>
      <c r="AK25" s="342" t="e">
        <f t="shared" ref="AK25:AQ25" si="33">AK24/AK23*100</f>
        <v>#DIV/0!</v>
      </c>
      <c r="AL25" s="342" t="e">
        <f t="shared" si="33"/>
        <v>#DIV/0!</v>
      </c>
      <c r="AM25" s="342" t="e">
        <f t="shared" si="33"/>
        <v>#DIV/0!</v>
      </c>
      <c r="AN25" s="342" t="e">
        <f t="shared" si="33"/>
        <v>#DIV/0!</v>
      </c>
      <c r="AO25" s="342" t="e">
        <f t="shared" si="33"/>
        <v>#DIV/0!</v>
      </c>
      <c r="AP25" s="342" t="e">
        <f t="shared" si="33"/>
        <v>#DIV/0!</v>
      </c>
      <c r="AQ25" s="342" t="e">
        <f t="shared" si="33"/>
        <v>#DIV/0!</v>
      </c>
    </row>
    <row r="26" spans="1:43" s="324" customFormat="1">
      <c r="A26" s="325" t="s">
        <v>23</v>
      </c>
      <c r="B26" s="326">
        <f t="shared" ref="B26:H27" si="34">K26+S26+AK26</f>
        <v>67.200000000000017</v>
      </c>
      <c r="C26" s="325">
        <f t="shared" si="34"/>
        <v>2332</v>
      </c>
      <c r="D26" s="325">
        <f t="shared" si="34"/>
        <v>2096.5</v>
      </c>
      <c r="E26" s="325">
        <f t="shared" si="34"/>
        <v>86.5</v>
      </c>
      <c r="F26" s="325">
        <f t="shared" si="34"/>
        <v>433</v>
      </c>
      <c r="G26" s="325">
        <f t="shared" si="34"/>
        <v>48.5</v>
      </c>
      <c r="H26" s="325">
        <f t="shared" si="34"/>
        <v>1505.5</v>
      </c>
      <c r="I26" s="327"/>
      <c r="J26" s="328" t="s">
        <v>23</v>
      </c>
      <c r="K26" s="332">
        <v>17.890000000000004</v>
      </c>
      <c r="L26" s="333">
        <v>518</v>
      </c>
      <c r="M26" s="333">
        <v>466</v>
      </c>
      <c r="N26" s="333">
        <v>11</v>
      </c>
      <c r="O26" s="333">
        <v>97.5</v>
      </c>
      <c r="P26" s="333">
        <v>12</v>
      </c>
      <c r="Q26" s="333">
        <v>341.5</v>
      </c>
      <c r="R26" s="331" t="s">
        <v>23</v>
      </c>
      <c r="S26" s="332">
        <v>49.310000000000009</v>
      </c>
      <c r="T26" s="333">
        <v>1814</v>
      </c>
      <c r="U26" s="333">
        <v>1630.5</v>
      </c>
      <c r="V26" s="333">
        <v>75.5</v>
      </c>
      <c r="W26" s="333">
        <v>335.5</v>
      </c>
      <c r="X26" s="333">
        <v>36.5</v>
      </c>
      <c r="Y26" s="333">
        <v>1164</v>
      </c>
      <c r="Z26" s="278"/>
      <c r="AA26" s="325" t="s">
        <v>23</v>
      </c>
      <c r="AB26" s="332">
        <v>5.21</v>
      </c>
      <c r="AC26" s="333">
        <v>276.5</v>
      </c>
      <c r="AD26" s="333">
        <v>237</v>
      </c>
      <c r="AE26" s="333">
        <v>71.5</v>
      </c>
      <c r="AF26" s="333">
        <v>15</v>
      </c>
      <c r="AG26" s="333">
        <v>1.5</v>
      </c>
      <c r="AH26" s="333">
        <v>149</v>
      </c>
      <c r="AI26" s="278"/>
      <c r="AJ26" s="325" t="s">
        <v>23</v>
      </c>
      <c r="AK26" s="325">
        <v>0</v>
      </c>
      <c r="AL26" s="325">
        <v>0</v>
      </c>
      <c r="AM26" s="325">
        <f>AN26+AO26+AP26+AQ26</f>
        <v>0</v>
      </c>
      <c r="AN26" s="325">
        <v>0</v>
      </c>
      <c r="AO26" s="325">
        <v>0</v>
      </c>
      <c r="AP26" s="325">
        <v>0</v>
      </c>
      <c r="AQ26" s="325">
        <v>0</v>
      </c>
    </row>
    <row r="27" spans="1:43" s="324" customFormat="1">
      <c r="A27" s="334" t="s">
        <v>24</v>
      </c>
      <c r="B27" s="335">
        <f t="shared" si="34"/>
        <v>66.900000000000006</v>
      </c>
      <c r="C27" s="334">
        <f t="shared" si="34"/>
        <v>1680</v>
      </c>
      <c r="D27" s="334">
        <f t="shared" si="34"/>
        <v>1632</v>
      </c>
      <c r="E27" s="334">
        <f t="shared" si="34"/>
        <v>136</v>
      </c>
      <c r="F27" s="334">
        <f t="shared" si="34"/>
        <v>10</v>
      </c>
      <c r="G27" s="334">
        <f t="shared" si="34"/>
        <v>0</v>
      </c>
      <c r="H27" s="334">
        <f t="shared" si="34"/>
        <v>1486</v>
      </c>
      <c r="I27" s="327"/>
      <c r="J27" s="338" t="s">
        <v>24</v>
      </c>
      <c r="K27" s="339">
        <v>14.7</v>
      </c>
      <c r="L27" s="339">
        <v>249</v>
      </c>
      <c r="M27" s="334">
        <v>241</v>
      </c>
      <c r="N27" s="339">
        <v>20</v>
      </c>
      <c r="O27" s="339">
        <v>1</v>
      </c>
      <c r="P27" s="339">
        <v>0</v>
      </c>
      <c r="Q27" s="340">
        <v>220</v>
      </c>
      <c r="R27" s="341" t="s">
        <v>24</v>
      </c>
      <c r="S27" s="339">
        <v>52.2</v>
      </c>
      <c r="T27" s="339">
        <v>1431</v>
      </c>
      <c r="U27" s="334">
        <v>1391</v>
      </c>
      <c r="V27" s="339">
        <v>116</v>
      </c>
      <c r="W27" s="339">
        <v>9</v>
      </c>
      <c r="X27" s="339">
        <v>0</v>
      </c>
      <c r="Y27" s="339">
        <v>1266</v>
      </c>
      <c r="AA27" s="339" t="s">
        <v>24</v>
      </c>
      <c r="AB27" s="339">
        <v>8.9</v>
      </c>
      <c r="AC27" s="339">
        <v>169</v>
      </c>
      <c r="AD27" s="336">
        <v>161</v>
      </c>
      <c r="AE27" s="339">
        <v>36</v>
      </c>
      <c r="AF27" s="339">
        <v>4</v>
      </c>
      <c r="AG27" s="339">
        <v>0</v>
      </c>
      <c r="AH27" s="339">
        <v>121</v>
      </c>
      <c r="AJ27" s="339" t="s">
        <v>24</v>
      </c>
      <c r="AK27" s="339"/>
      <c r="AL27" s="339"/>
      <c r="AM27" s="334"/>
      <c r="AN27" s="339"/>
      <c r="AO27" s="339"/>
      <c r="AP27" s="339"/>
      <c r="AQ27" s="339"/>
    </row>
    <row r="28" spans="1:43" s="324" customFormat="1">
      <c r="A28" s="334" t="s">
        <v>12</v>
      </c>
      <c r="B28" s="336">
        <f t="shared" ref="B28:H28" si="35">B27/B26*100</f>
        <v>99.553571428571402</v>
      </c>
      <c r="C28" s="336">
        <f t="shared" si="35"/>
        <v>72.041166380789022</v>
      </c>
      <c r="D28" s="336">
        <f t="shared" si="35"/>
        <v>77.844025757214411</v>
      </c>
      <c r="E28" s="336">
        <f t="shared" si="35"/>
        <v>157.22543352601156</v>
      </c>
      <c r="F28" s="336">
        <f t="shared" si="35"/>
        <v>2.3094688221709005</v>
      </c>
      <c r="G28" s="336">
        <f t="shared" si="35"/>
        <v>0</v>
      </c>
      <c r="H28" s="336">
        <f t="shared" si="35"/>
        <v>98.704749252739958</v>
      </c>
      <c r="I28" s="337"/>
      <c r="J28" s="338" t="s">
        <v>12</v>
      </c>
      <c r="K28" s="342">
        <f t="shared" ref="K28:Q28" si="36">K27/K26*100</f>
        <v>82.168809390721051</v>
      </c>
      <c r="L28" s="342">
        <f t="shared" si="36"/>
        <v>48.069498069498067</v>
      </c>
      <c r="M28" s="342">
        <f t="shared" si="36"/>
        <v>51.716738197424895</v>
      </c>
      <c r="N28" s="342">
        <f t="shared" si="36"/>
        <v>181.81818181818181</v>
      </c>
      <c r="O28" s="342">
        <f t="shared" si="36"/>
        <v>1.0256410256410255</v>
      </c>
      <c r="P28" s="342">
        <f t="shared" si="36"/>
        <v>0</v>
      </c>
      <c r="Q28" s="343">
        <f t="shared" si="36"/>
        <v>64.42166910688141</v>
      </c>
      <c r="R28" s="341" t="s">
        <v>12</v>
      </c>
      <c r="S28" s="342">
        <f t="shared" ref="S28:Y28" si="37">S27/S26*100</f>
        <v>105.86088014601501</v>
      </c>
      <c r="T28" s="342">
        <f t="shared" si="37"/>
        <v>78.886438809261307</v>
      </c>
      <c r="U28" s="342">
        <f t="shared" si="37"/>
        <v>85.311254216498014</v>
      </c>
      <c r="V28" s="342">
        <f t="shared" si="37"/>
        <v>153.64238410596028</v>
      </c>
      <c r="W28" s="342">
        <f t="shared" si="37"/>
        <v>2.6825633383010432</v>
      </c>
      <c r="X28" s="342">
        <f t="shared" si="37"/>
        <v>0</v>
      </c>
      <c r="Y28" s="342">
        <f t="shared" si="37"/>
        <v>108.76288659793813</v>
      </c>
      <c r="AA28" s="339" t="s">
        <v>12</v>
      </c>
      <c r="AB28" s="342">
        <f t="shared" ref="AB28:AH28" si="38">AB27/AB26*100</f>
        <v>170.8253358925144</v>
      </c>
      <c r="AC28" s="342">
        <f t="shared" si="38"/>
        <v>61.121157323688969</v>
      </c>
      <c r="AD28" s="342">
        <f t="shared" si="38"/>
        <v>67.932489451476798</v>
      </c>
      <c r="AE28" s="342">
        <f t="shared" si="38"/>
        <v>50.349650349650354</v>
      </c>
      <c r="AF28" s="342">
        <f t="shared" si="38"/>
        <v>26.666666666666668</v>
      </c>
      <c r="AG28" s="342">
        <f t="shared" si="38"/>
        <v>0</v>
      </c>
      <c r="AH28" s="342">
        <f t="shared" si="38"/>
        <v>81.208053691275168</v>
      </c>
      <c r="AJ28" s="339" t="s">
        <v>12</v>
      </c>
      <c r="AK28" s="342" t="e">
        <f t="shared" ref="AK28:AQ28" si="39">AK27/AK26*100</f>
        <v>#DIV/0!</v>
      </c>
      <c r="AL28" s="342" t="e">
        <f t="shared" si="39"/>
        <v>#DIV/0!</v>
      </c>
      <c r="AM28" s="342" t="e">
        <f t="shared" si="39"/>
        <v>#DIV/0!</v>
      </c>
      <c r="AN28" s="342" t="e">
        <f t="shared" si="39"/>
        <v>#DIV/0!</v>
      </c>
      <c r="AO28" s="342" t="e">
        <f t="shared" si="39"/>
        <v>#DIV/0!</v>
      </c>
      <c r="AP28" s="342" t="e">
        <f t="shared" si="39"/>
        <v>#DIV/0!</v>
      </c>
      <c r="AQ28" s="342" t="e">
        <f t="shared" si="39"/>
        <v>#DIV/0!</v>
      </c>
    </row>
    <row r="29" spans="1:43" s="324" customFormat="1">
      <c r="A29" s="325" t="s">
        <v>25</v>
      </c>
      <c r="B29" s="326">
        <f t="shared" ref="B29:H30" si="40">K29+S29+AK29</f>
        <v>64.47</v>
      </c>
      <c r="C29" s="325">
        <f t="shared" si="40"/>
        <v>2395</v>
      </c>
      <c r="D29" s="325">
        <f t="shared" si="40"/>
        <v>2143</v>
      </c>
      <c r="E29" s="325">
        <f t="shared" si="40"/>
        <v>94</v>
      </c>
      <c r="F29" s="325">
        <f t="shared" si="40"/>
        <v>447.5</v>
      </c>
      <c r="G29" s="325">
        <f t="shared" si="40"/>
        <v>14.5</v>
      </c>
      <c r="H29" s="325">
        <f t="shared" si="40"/>
        <v>1560</v>
      </c>
      <c r="I29" s="327"/>
      <c r="J29" s="328" t="s">
        <v>25</v>
      </c>
      <c r="K29" s="332">
        <v>8.7900000000000009</v>
      </c>
      <c r="L29" s="333">
        <v>239.5</v>
      </c>
      <c r="M29" s="333">
        <v>210.5</v>
      </c>
      <c r="N29" s="333">
        <v>2.5</v>
      </c>
      <c r="O29" s="333">
        <v>43</v>
      </c>
      <c r="P29" s="333">
        <v>5</v>
      </c>
      <c r="Q29" s="333">
        <v>156.5</v>
      </c>
      <c r="R29" s="331" t="s">
        <v>25</v>
      </c>
      <c r="S29" s="332">
        <v>55.679999999999993</v>
      </c>
      <c r="T29" s="333">
        <v>2155.5</v>
      </c>
      <c r="U29" s="333">
        <v>1932.5</v>
      </c>
      <c r="V29" s="333">
        <v>91.5</v>
      </c>
      <c r="W29" s="333">
        <v>404.5</v>
      </c>
      <c r="X29" s="333">
        <v>9.5</v>
      </c>
      <c r="Y29" s="333">
        <v>1403.5</v>
      </c>
      <c r="Z29" s="278"/>
      <c r="AA29" s="325" t="s">
        <v>25</v>
      </c>
      <c r="AB29" s="332">
        <v>1.48</v>
      </c>
      <c r="AC29" s="333">
        <v>76</v>
      </c>
      <c r="AD29" s="333">
        <v>64</v>
      </c>
      <c r="AE29" s="333">
        <v>21.5</v>
      </c>
      <c r="AF29" s="333">
        <v>2</v>
      </c>
      <c r="AG29" s="333">
        <v>0.5</v>
      </c>
      <c r="AH29" s="333">
        <v>39.5</v>
      </c>
      <c r="AI29" s="278"/>
      <c r="AJ29" s="325" t="s">
        <v>25</v>
      </c>
      <c r="AK29" s="325"/>
      <c r="AL29" s="325">
        <v>0</v>
      </c>
      <c r="AM29" s="325">
        <f>AN29+AO29+AP29+AQ29</f>
        <v>0</v>
      </c>
      <c r="AN29" s="325">
        <v>0</v>
      </c>
      <c r="AO29" s="325">
        <v>0</v>
      </c>
      <c r="AP29" s="325">
        <v>0</v>
      </c>
      <c r="AQ29" s="325">
        <v>0</v>
      </c>
    </row>
    <row r="30" spans="1:43" s="324" customFormat="1">
      <c r="A30" s="334" t="s">
        <v>26</v>
      </c>
      <c r="B30" s="335">
        <f t="shared" si="40"/>
        <v>68.999999999999986</v>
      </c>
      <c r="C30" s="334">
        <f t="shared" si="40"/>
        <v>3265</v>
      </c>
      <c r="D30" s="334">
        <f t="shared" si="40"/>
        <v>3047</v>
      </c>
      <c r="E30" s="334">
        <f t="shared" si="40"/>
        <v>0</v>
      </c>
      <c r="F30" s="334">
        <f t="shared" si="40"/>
        <v>0</v>
      </c>
      <c r="G30" s="334">
        <f t="shared" si="40"/>
        <v>1</v>
      </c>
      <c r="H30" s="334">
        <f t="shared" si="40"/>
        <v>3046</v>
      </c>
      <c r="I30" s="327"/>
      <c r="J30" s="338" t="s">
        <v>26</v>
      </c>
      <c r="K30" s="339">
        <v>9.6</v>
      </c>
      <c r="L30" s="339">
        <v>527</v>
      </c>
      <c r="M30" s="334">
        <v>508</v>
      </c>
      <c r="N30" s="339">
        <v>0</v>
      </c>
      <c r="O30" s="339">
        <v>0</v>
      </c>
      <c r="P30" s="339">
        <v>1</v>
      </c>
      <c r="Q30" s="340">
        <v>507</v>
      </c>
      <c r="R30" s="341" t="s">
        <v>26</v>
      </c>
      <c r="S30" s="452">
        <v>59.3</v>
      </c>
      <c r="T30" s="339">
        <v>2737</v>
      </c>
      <c r="U30" s="334">
        <v>2538</v>
      </c>
      <c r="V30" s="339">
        <v>0</v>
      </c>
      <c r="W30" s="339">
        <v>0</v>
      </c>
      <c r="X30" s="339">
        <v>0</v>
      </c>
      <c r="Y30" s="339">
        <v>2538</v>
      </c>
      <c r="AA30" s="339" t="s">
        <v>26</v>
      </c>
      <c r="AB30" s="339">
        <v>0.2</v>
      </c>
      <c r="AC30" s="339">
        <v>53</v>
      </c>
      <c r="AD30" s="336">
        <v>50</v>
      </c>
      <c r="AE30" s="339">
        <v>0</v>
      </c>
      <c r="AF30" s="339">
        <v>0</v>
      </c>
      <c r="AG30" s="339">
        <v>0</v>
      </c>
      <c r="AH30" s="339">
        <v>50</v>
      </c>
      <c r="AJ30" s="339" t="s">
        <v>26</v>
      </c>
      <c r="AK30" s="339">
        <v>0.1</v>
      </c>
      <c r="AL30" s="339">
        <v>1</v>
      </c>
      <c r="AM30" s="334">
        <v>1</v>
      </c>
      <c r="AN30" s="339">
        <v>0</v>
      </c>
      <c r="AO30" s="339">
        <v>0</v>
      </c>
      <c r="AP30" s="339">
        <v>0</v>
      </c>
      <c r="AQ30" s="339">
        <v>1</v>
      </c>
    </row>
    <row r="31" spans="1:43" s="324" customFormat="1">
      <c r="A31" s="334" t="s">
        <v>12</v>
      </c>
      <c r="B31" s="336">
        <f t="shared" ref="B31:H31" si="41">B30/B29*100</f>
        <v>107.02652396463471</v>
      </c>
      <c r="C31" s="336">
        <f t="shared" si="41"/>
        <v>136.32567849686848</v>
      </c>
      <c r="D31" s="336">
        <f t="shared" si="41"/>
        <v>142.18385440970602</v>
      </c>
      <c r="E31" s="336">
        <f t="shared" si="41"/>
        <v>0</v>
      </c>
      <c r="F31" s="336">
        <f t="shared" si="41"/>
        <v>0</v>
      </c>
      <c r="G31" s="336">
        <f t="shared" si="41"/>
        <v>6.8965517241379306</v>
      </c>
      <c r="H31" s="336">
        <f t="shared" si="41"/>
        <v>195.25641025641025</v>
      </c>
      <c r="I31" s="337"/>
      <c r="J31" s="338" t="s">
        <v>12</v>
      </c>
      <c r="K31" s="342">
        <f t="shared" ref="K31:Q31" si="42">K30/K29*100</f>
        <v>109.21501706484639</v>
      </c>
      <c r="L31" s="342">
        <f t="shared" si="42"/>
        <v>220.04175365344469</v>
      </c>
      <c r="M31" s="342">
        <f t="shared" si="42"/>
        <v>241.33016627078385</v>
      </c>
      <c r="N31" s="342">
        <f t="shared" si="42"/>
        <v>0</v>
      </c>
      <c r="O31" s="342">
        <f t="shared" si="42"/>
        <v>0</v>
      </c>
      <c r="P31" s="342">
        <f t="shared" si="42"/>
        <v>20</v>
      </c>
      <c r="Q31" s="343">
        <f t="shared" si="42"/>
        <v>323.96166134185307</v>
      </c>
      <c r="R31" s="341" t="s">
        <v>12</v>
      </c>
      <c r="S31" s="342">
        <f t="shared" ref="S31:Y31" si="43">S30/S29*100</f>
        <v>106.50143678160919</v>
      </c>
      <c r="T31" s="342">
        <f t="shared" si="43"/>
        <v>126.97749942008814</v>
      </c>
      <c r="U31" s="342">
        <f t="shared" si="43"/>
        <v>131.33247089262613</v>
      </c>
      <c r="V31" s="342">
        <f t="shared" si="43"/>
        <v>0</v>
      </c>
      <c r="W31" s="342">
        <f t="shared" si="43"/>
        <v>0</v>
      </c>
      <c r="X31" s="342">
        <f t="shared" si="43"/>
        <v>0</v>
      </c>
      <c r="Y31" s="342">
        <f t="shared" si="43"/>
        <v>180.8336302101888</v>
      </c>
      <c r="AA31" s="339" t="s">
        <v>12</v>
      </c>
      <c r="AB31" s="342">
        <f t="shared" ref="AB31:AH31" si="44">AB30/AB29*100</f>
        <v>13.513513513513514</v>
      </c>
      <c r="AC31" s="342">
        <f t="shared" si="44"/>
        <v>69.73684210526315</v>
      </c>
      <c r="AD31" s="342">
        <f t="shared" si="44"/>
        <v>78.125</v>
      </c>
      <c r="AE31" s="342">
        <f t="shared" si="44"/>
        <v>0</v>
      </c>
      <c r="AF31" s="342">
        <f t="shared" si="44"/>
        <v>0</v>
      </c>
      <c r="AG31" s="342">
        <f t="shared" si="44"/>
        <v>0</v>
      </c>
      <c r="AH31" s="342">
        <f t="shared" si="44"/>
        <v>126.58227848101266</v>
      </c>
      <c r="AJ31" s="339" t="s">
        <v>12</v>
      </c>
      <c r="AK31" s="342" t="e">
        <f t="shared" ref="AK31:AQ31" si="45">AK30/AK29*100</f>
        <v>#DIV/0!</v>
      </c>
      <c r="AL31" s="342" t="e">
        <f t="shared" si="45"/>
        <v>#DIV/0!</v>
      </c>
      <c r="AM31" s="342" t="e">
        <f t="shared" si="45"/>
        <v>#DIV/0!</v>
      </c>
      <c r="AN31" s="342" t="e">
        <f t="shared" si="45"/>
        <v>#DIV/0!</v>
      </c>
      <c r="AO31" s="342" t="e">
        <f t="shared" si="45"/>
        <v>#DIV/0!</v>
      </c>
      <c r="AP31" s="342" t="e">
        <f t="shared" si="45"/>
        <v>#DIV/0!</v>
      </c>
      <c r="AQ31" s="342" t="e">
        <f t="shared" si="45"/>
        <v>#DIV/0!</v>
      </c>
    </row>
    <row r="32" spans="1:43" s="324" customFormat="1">
      <c r="A32" s="325" t="s">
        <v>27</v>
      </c>
      <c r="B32" s="326">
        <f t="shared" ref="B32:H33" si="46">K32+S32+AK32</f>
        <v>2.61</v>
      </c>
      <c r="C32" s="325">
        <f t="shared" si="46"/>
        <v>179</v>
      </c>
      <c r="D32" s="325">
        <f t="shared" si="46"/>
        <v>156.5</v>
      </c>
      <c r="E32" s="325">
        <f t="shared" si="46"/>
        <v>59.5</v>
      </c>
      <c r="F32" s="325">
        <f t="shared" si="46"/>
        <v>19</v>
      </c>
      <c r="G32" s="325">
        <f t="shared" si="46"/>
        <v>6</v>
      </c>
      <c r="H32" s="325">
        <f t="shared" si="46"/>
        <v>70.5</v>
      </c>
      <c r="I32" s="327"/>
      <c r="J32" s="328" t="s">
        <v>27</v>
      </c>
      <c r="K32" s="332">
        <v>1.42</v>
      </c>
      <c r="L32" s="333">
        <v>53.5</v>
      </c>
      <c r="M32" s="333">
        <v>46.5</v>
      </c>
      <c r="N32" s="333">
        <v>15.5</v>
      </c>
      <c r="O32" s="333">
        <v>3</v>
      </c>
      <c r="P32" s="333">
        <v>0</v>
      </c>
      <c r="Q32" s="333">
        <v>28</v>
      </c>
      <c r="R32" s="331" t="s">
        <v>27</v>
      </c>
      <c r="S32" s="332">
        <v>1.19</v>
      </c>
      <c r="T32" s="333">
        <v>125.5</v>
      </c>
      <c r="U32" s="333">
        <v>110</v>
      </c>
      <c r="V32" s="333">
        <v>44</v>
      </c>
      <c r="W32" s="333">
        <v>16</v>
      </c>
      <c r="X32" s="333">
        <v>6</v>
      </c>
      <c r="Y32" s="333">
        <v>42.5</v>
      </c>
      <c r="Z32" s="278" t="s">
        <v>71</v>
      </c>
      <c r="AA32" s="325" t="s">
        <v>27</v>
      </c>
      <c r="AB32" s="332">
        <v>0.94000000000000006</v>
      </c>
      <c r="AC32" s="333">
        <v>113.5</v>
      </c>
      <c r="AD32" s="333">
        <v>99.5</v>
      </c>
      <c r="AE32" s="333">
        <v>40</v>
      </c>
      <c r="AF32" s="333">
        <v>14.5</v>
      </c>
      <c r="AG32" s="333">
        <v>5.5</v>
      </c>
      <c r="AH32" s="333">
        <v>38</v>
      </c>
      <c r="AI32" s="278"/>
      <c r="AJ32" s="325" t="s">
        <v>27</v>
      </c>
      <c r="AK32" s="325">
        <v>0</v>
      </c>
      <c r="AL32" s="325"/>
      <c r="AM32" s="325">
        <f>AN32+AO32+AP32+AQ32</f>
        <v>0</v>
      </c>
      <c r="AN32" s="325"/>
      <c r="AO32" s="325"/>
      <c r="AP32" s="325"/>
      <c r="AQ32" s="325"/>
    </row>
    <row r="33" spans="1:43" s="324" customFormat="1">
      <c r="A33" s="334" t="s">
        <v>28</v>
      </c>
      <c r="B33" s="335">
        <f t="shared" si="46"/>
        <v>0.6</v>
      </c>
      <c r="C33" s="334">
        <f t="shared" si="46"/>
        <v>91</v>
      </c>
      <c r="D33" s="334">
        <f t="shared" si="46"/>
        <v>90</v>
      </c>
      <c r="E33" s="334">
        <f t="shared" si="46"/>
        <v>36</v>
      </c>
      <c r="F33" s="334">
        <f t="shared" si="46"/>
        <v>4</v>
      </c>
      <c r="G33" s="334">
        <f t="shared" si="46"/>
        <v>3</v>
      </c>
      <c r="H33" s="334">
        <f t="shared" si="46"/>
        <v>47</v>
      </c>
      <c r="I33" s="327"/>
      <c r="J33" s="338" t="s">
        <v>28</v>
      </c>
      <c r="K33" s="339">
        <v>0</v>
      </c>
      <c r="L33" s="339">
        <v>4</v>
      </c>
      <c r="M33" s="334">
        <v>4</v>
      </c>
      <c r="N33" s="339">
        <v>0</v>
      </c>
      <c r="O33" s="339">
        <v>0</v>
      </c>
      <c r="P33" s="339">
        <v>0</v>
      </c>
      <c r="Q33" s="340">
        <v>4</v>
      </c>
      <c r="R33" s="341" t="s">
        <v>28</v>
      </c>
      <c r="S33" s="339">
        <v>0.6</v>
      </c>
      <c r="T33" s="339">
        <v>87</v>
      </c>
      <c r="U33" s="334">
        <v>86</v>
      </c>
      <c r="V33" s="339">
        <v>36</v>
      </c>
      <c r="W33" s="339">
        <v>4</v>
      </c>
      <c r="X33" s="339">
        <v>3</v>
      </c>
      <c r="Y33" s="339">
        <v>43</v>
      </c>
      <c r="AA33" s="339" t="s">
        <v>28</v>
      </c>
      <c r="AB33" s="339">
        <v>0.6</v>
      </c>
      <c r="AC33" s="339">
        <v>87</v>
      </c>
      <c r="AD33" s="336">
        <v>86</v>
      </c>
      <c r="AE33" s="339">
        <v>36</v>
      </c>
      <c r="AF33" s="339">
        <v>4</v>
      </c>
      <c r="AG33" s="339">
        <v>3</v>
      </c>
      <c r="AH33" s="339">
        <v>43</v>
      </c>
      <c r="AJ33" s="339" t="s">
        <v>28</v>
      </c>
      <c r="AK33" s="339"/>
      <c r="AL33" s="339"/>
      <c r="AM33" s="334"/>
      <c r="AN33" s="339"/>
      <c r="AO33" s="339"/>
      <c r="AP33" s="339"/>
      <c r="AQ33" s="339"/>
    </row>
    <row r="34" spans="1:43" s="324" customFormat="1">
      <c r="A34" s="334" t="s">
        <v>12</v>
      </c>
      <c r="B34" s="336">
        <f t="shared" ref="B34:H34" si="47">B33/B32*100</f>
        <v>22.988505747126435</v>
      </c>
      <c r="C34" s="336">
        <f t="shared" si="47"/>
        <v>50.837988826815639</v>
      </c>
      <c r="D34" s="336">
        <f t="shared" si="47"/>
        <v>57.507987220447291</v>
      </c>
      <c r="E34" s="336">
        <f t="shared" si="47"/>
        <v>60.504201680672267</v>
      </c>
      <c r="F34" s="336">
        <f t="shared" si="47"/>
        <v>21.052631578947366</v>
      </c>
      <c r="G34" s="336">
        <f t="shared" si="47"/>
        <v>50</v>
      </c>
      <c r="H34" s="336">
        <f t="shared" si="47"/>
        <v>66.666666666666657</v>
      </c>
      <c r="I34" s="337"/>
      <c r="J34" s="338" t="s">
        <v>12</v>
      </c>
      <c r="K34" s="342">
        <f t="shared" ref="K34:Q34" si="48">K33/K32*100</f>
        <v>0</v>
      </c>
      <c r="L34" s="342">
        <f t="shared" si="48"/>
        <v>7.4766355140186906</v>
      </c>
      <c r="M34" s="342">
        <f t="shared" si="48"/>
        <v>8.6021505376344098</v>
      </c>
      <c r="N34" s="342">
        <f t="shared" si="48"/>
        <v>0</v>
      </c>
      <c r="O34" s="342">
        <f t="shared" si="48"/>
        <v>0</v>
      </c>
      <c r="P34" s="342" t="e">
        <f t="shared" si="48"/>
        <v>#DIV/0!</v>
      </c>
      <c r="Q34" s="343">
        <f t="shared" si="48"/>
        <v>14.285714285714285</v>
      </c>
      <c r="R34" s="341" t="s">
        <v>12</v>
      </c>
      <c r="S34" s="342">
        <f t="shared" ref="S34:Y34" si="49">S33/S32*100</f>
        <v>50.420168067226889</v>
      </c>
      <c r="T34" s="342">
        <f t="shared" si="49"/>
        <v>69.322709163346616</v>
      </c>
      <c r="U34" s="342">
        <f t="shared" si="49"/>
        <v>78.181818181818187</v>
      </c>
      <c r="V34" s="342">
        <f t="shared" si="49"/>
        <v>81.818181818181827</v>
      </c>
      <c r="W34" s="342">
        <f t="shared" si="49"/>
        <v>25</v>
      </c>
      <c r="X34" s="342">
        <f t="shared" si="49"/>
        <v>50</v>
      </c>
      <c r="Y34" s="342">
        <f t="shared" si="49"/>
        <v>101.17647058823529</v>
      </c>
      <c r="AA34" s="339" t="s">
        <v>12</v>
      </c>
      <c r="AB34" s="342">
        <f t="shared" ref="AB34:AH34" si="50">AB33/AB32*100</f>
        <v>63.829787234042549</v>
      </c>
      <c r="AC34" s="342">
        <f t="shared" si="50"/>
        <v>76.651982378854626</v>
      </c>
      <c r="AD34" s="342">
        <f t="shared" si="50"/>
        <v>86.4321608040201</v>
      </c>
      <c r="AE34" s="342">
        <f t="shared" si="50"/>
        <v>90</v>
      </c>
      <c r="AF34" s="342">
        <f t="shared" si="50"/>
        <v>27.586206896551722</v>
      </c>
      <c r="AG34" s="342">
        <f t="shared" si="50"/>
        <v>54.54545454545454</v>
      </c>
      <c r="AH34" s="342">
        <f t="shared" si="50"/>
        <v>113.1578947368421</v>
      </c>
      <c r="AJ34" s="339" t="s">
        <v>12</v>
      </c>
      <c r="AK34" s="342" t="e">
        <f t="shared" ref="AK34:AQ34" si="51">AK33/AK32*100</f>
        <v>#DIV/0!</v>
      </c>
      <c r="AL34" s="342" t="e">
        <f t="shared" si="51"/>
        <v>#DIV/0!</v>
      </c>
      <c r="AM34" s="342" t="e">
        <f t="shared" si="51"/>
        <v>#DIV/0!</v>
      </c>
      <c r="AN34" s="342" t="e">
        <f t="shared" si="51"/>
        <v>#DIV/0!</v>
      </c>
      <c r="AO34" s="342" t="e">
        <f t="shared" si="51"/>
        <v>#DIV/0!</v>
      </c>
      <c r="AP34" s="342" t="e">
        <f t="shared" si="51"/>
        <v>#DIV/0!</v>
      </c>
      <c r="AQ34" s="342" t="e">
        <f t="shared" si="51"/>
        <v>#DIV/0!</v>
      </c>
    </row>
    <row r="35" spans="1:43" s="324" customFormat="1">
      <c r="A35" s="325" t="s">
        <v>29</v>
      </c>
      <c r="B35" s="326">
        <f t="shared" ref="B35:H36" si="52">K35+S35+AK35</f>
        <v>21.549999999999997</v>
      </c>
      <c r="C35" s="325">
        <f t="shared" si="52"/>
        <v>1534.5</v>
      </c>
      <c r="D35" s="325">
        <f t="shared" si="52"/>
        <v>1358.5</v>
      </c>
      <c r="E35" s="325">
        <f t="shared" si="52"/>
        <v>0</v>
      </c>
      <c r="F35" s="325">
        <f t="shared" si="52"/>
        <v>384.5</v>
      </c>
      <c r="G35" s="325">
        <f t="shared" si="52"/>
        <v>115</v>
      </c>
      <c r="H35" s="325">
        <f t="shared" si="52"/>
        <v>844</v>
      </c>
      <c r="I35" s="327"/>
      <c r="J35" s="328" t="s">
        <v>29</v>
      </c>
      <c r="K35" s="332">
        <v>0.26999999999999996</v>
      </c>
      <c r="L35" s="333">
        <v>6</v>
      </c>
      <c r="M35" s="333">
        <v>4</v>
      </c>
      <c r="N35" s="333">
        <v>0</v>
      </c>
      <c r="O35" s="333">
        <v>0</v>
      </c>
      <c r="P35" s="333">
        <v>0</v>
      </c>
      <c r="Q35" s="333">
        <v>4</v>
      </c>
      <c r="R35" s="331" t="s">
        <v>29</v>
      </c>
      <c r="S35" s="332">
        <v>21.279999999999998</v>
      </c>
      <c r="T35" s="333">
        <v>1528.5</v>
      </c>
      <c r="U35" s="333">
        <v>1354.5</v>
      </c>
      <c r="V35" s="333">
        <v>0</v>
      </c>
      <c r="W35" s="333">
        <v>384.5</v>
      </c>
      <c r="X35" s="333">
        <v>115</v>
      </c>
      <c r="Y35" s="333">
        <v>840</v>
      </c>
      <c r="Z35" s="278"/>
      <c r="AA35" s="325" t="s">
        <v>29</v>
      </c>
      <c r="AB35" s="332">
        <v>0.04</v>
      </c>
      <c r="AC35" s="333">
        <v>1</v>
      </c>
      <c r="AD35" s="333">
        <v>1</v>
      </c>
      <c r="AE35" s="333">
        <v>0</v>
      </c>
      <c r="AF35" s="333">
        <v>0.5</v>
      </c>
      <c r="AG35" s="333">
        <v>0</v>
      </c>
      <c r="AH35" s="333">
        <v>0.5</v>
      </c>
      <c r="AI35" s="278"/>
      <c r="AJ35" s="325" t="s">
        <v>29</v>
      </c>
      <c r="AK35" s="325">
        <v>0</v>
      </c>
      <c r="AL35" s="325">
        <v>0</v>
      </c>
      <c r="AM35" s="325">
        <f>AN35+AO35+AP35+AQ35</f>
        <v>0</v>
      </c>
      <c r="AN35" s="325">
        <v>0</v>
      </c>
      <c r="AO35" s="325">
        <v>0</v>
      </c>
      <c r="AP35" s="325">
        <v>0</v>
      </c>
      <c r="AQ35" s="325">
        <v>0</v>
      </c>
    </row>
    <row r="36" spans="1:43" s="324" customFormat="1">
      <c r="A36" s="334" t="s">
        <v>30</v>
      </c>
      <c r="B36" s="335">
        <f t="shared" si="52"/>
        <v>32.300000000000004</v>
      </c>
      <c r="C36" s="334">
        <f t="shared" si="52"/>
        <v>2503</v>
      </c>
      <c r="D36" s="334">
        <f t="shared" si="52"/>
        <v>2235</v>
      </c>
      <c r="E36" s="334">
        <f t="shared" si="52"/>
        <v>36</v>
      </c>
      <c r="F36" s="334">
        <f t="shared" si="52"/>
        <v>11</v>
      </c>
      <c r="G36" s="334">
        <f t="shared" si="52"/>
        <v>1</v>
      </c>
      <c r="H36" s="334">
        <f t="shared" si="52"/>
        <v>2187</v>
      </c>
      <c r="I36" s="327"/>
      <c r="J36" s="338" t="s">
        <v>30</v>
      </c>
      <c r="K36" s="339">
        <v>0.1</v>
      </c>
      <c r="L36" s="339">
        <v>205</v>
      </c>
      <c r="M36" s="334">
        <v>138</v>
      </c>
      <c r="N36" s="339">
        <v>1</v>
      </c>
      <c r="O36" s="339">
        <v>0</v>
      </c>
      <c r="P36" s="339">
        <v>0</v>
      </c>
      <c r="Q36" s="340">
        <v>137</v>
      </c>
      <c r="R36" s="341" t="s">
        <v>30</v>
      </c>
      <c r="S36" s="339">
        <v>31.5</v>
      </c>
      <c r="T36" s="339">
        <v>2286</v>
      </c>
      <c r="U36" s="334">
        <v>2085</v>
      </c>
      <c r="V36" s="339">
        <v>35</v>
      </c>
      <c r="W36" s="339">
        <v>11</v>
      </c>
      <c r="X36" s="339">
        <v>1</v>
      </c>
      <c r="Y36" s="339">
        <v>2038</v>
      </c>
      <c r="AA36" s="339" t="s">
        <v>30</v>
      </c>
      <c r="AB36" s="339">
        <v>0</v>
      </c>
      <c r="AC36" s="339">
        <v>16</v>
      </c>
      <c r="AD36" s="336">
        <v>15</v>
      </c>
      <c r="AE36" s="339">
        <v>0</v>
      </c>
      <c r="AF36" s="339">
        <v>0</v>
      </c>
      <c r="AG36" s="339">
        <v>0</v>
      </c>
      <c r="AH36" s="339">
        <v>15</v>
      </c>
      <c r="AJ36" s="339" t="s">
        <v>30</v>
      </c>
      <c r="AK36" s="339">
        <v>0.7</v>
      </c>
      <c r="AL36" s="339">
        <v>12</v>
      </c>
      <c r="AM36" s="334">
        <v>12</v>
      </c>
      <c r="AN36" s="339">
        <v>0</v>
      </c>
      <c r="AO36" s="339">
        <v>0</v>
      </c>
      <c r="AP36" s="339">
        <v>0</v>
      </c>
      <c r="AQ36" s="339">
        <v>12</v>
      </c>
    </row>
    <row r="37" spans="1:43" s="324" customFormat="1">
      <c r="A37" s="334" t="s">
        <v>12</v>
      </c>
      <c r="B37" s="336">
        <f t="shared" ref="B37:H37" si="53">B36/B35*100</f>
        <v>149.88399071925758</v>
      </c>
      <c r="C37" s="336">
        <f t="shared" si="53"/>
        <v>163.11502117953731</v>
      </c>
      <c r="D37" s="336">
        <f t="shared" si="53"/>
        <v>164.5196908354803</v>
      </c>
      <c r="E37" s="336" t="e">
        <f t="shared" si="53"/>
        <v>#DIV/0!</v>
      </c>
      <c r="F37" s="336">
        <f t="shared" si="53"/>
        <v>2.860858257477243</v>
      </c>
      <c r="G37" s="336">
        <f t="shared" si="53"/>
        <v>0.86956521739130432</v>
      </c>
      <c r="H37" s="336">
        <f t="shared" si="53"/>
        <v>259.12322274881518</v>
      </c>
      <c r="I37" s="337"/>
      <c r="J37" s="338" t="s">
        <v>12</v>
      </c>
      <c r="K37" s="342">
        <f t="shared" ref="K37:Q37" si="54">K36/K35*100</f>
        <v>37.037037037037045</v>
      </c>
      <c r="L37" s="342">
        <f t="shared" si="54"/>
        <v>3416.6666666666665</v>
      </c>
      <c r="M37" s="342">
        <f t="shared" si="54"/>
        <v>3450</v>
      </c>
      <c r="N37" s="342" t="e">
        <f t="shared" si="54"/>
        <v>#DIV/0!</v>
      </c>
      <c r="O37" s="342" t="e">
        <f t="shared" si="54"/>
        <v>#DIV/0!</v>
      </c>
      <c r="P37" s="342" t="e">
        <f t="shared" si="54"/>
        <v>#DIV/0!</v>
      </c>
      <c r="Q37" s="343">
        <f t="shared" si="54"/>
        <v>3425</v>
      </c>
      <c r="R37" s="341" t="s">
        <v>12</v>
      </c>
      <c r="S37" s="342">
        <f t="shared" ref="S37:Y37" si="55">S36/S35*100</f>
        <v>148.0263157894737</v>
      </c>
      <c r="T37" s="342">
        <f t="shared" si="55"/>
        <v>149.55839057899902</v>
      </c>
      <c r="U37" s="342">
        <f t="shared" si="55"/>
        <v>153.93133997785159</v>
      </c>
      <c r="V37" s="342" t="e">
        <f t="shared" si="55"/>
        <v>#DIV/0!</v>
      </c>
      <c r="W37" s="342">
        <f t="shared" si="55"/>
        <v>2.860858257477243</v>
      </c>
      <c r="X37" s="342">
        <f t="shared" si="55"/>
        <v>0.86956521739130432</v>
      </c>
      <c r="Y37" s="342">
        <f t="shared" si="55"/>
        <v>242.61904761904759</v>
      </c>
      <c r="AA37" s="339" t="s">
        <v>12</v>
      </c>
      <c r="AB37" s="342">
        <f t="shared" ref="AB37:AH37" si="56">AB36/AB35*100</f>
        <v>0</v>
      </c>
      <c r="AC37" s="342">
        <f t="shared" si="56"/>
        <v>1600</v>
      </c>
      <c r="AD37" s="342">
        <f t="shared" si="56"/>
        <v>1500</v>
      </c>
      <c r="AE37" s="342" t="e">
        <f t="shared" si="56"/>
        <v>#DIV/0!</v>
      </c>
      <c r="AF37" s="342">
        <f t="shared" si="56"/>
        <v>0</v>
      </c>
      <c r="AG37" s="342" t="e">
        <f t="shared" si="56"/>
        <v>#DIV/0!</v>
      </c>
      <c r="AH37" s="342">
        <f t="shared" si="56"/>
        <v>3000</v>
      </c>
      <c r="AJ37" s="339" t="s">
        <v>12</v>
      </c>
      <c r="AK37" s="342" t="e">
        <f t="shared" ref="AK37:AQ37" si="57">AK36/AK35*100</f>
        <v>#DIV/0!</v>
      </c>
      <c r="AL37" s="342" t="e">
        <f t="shared" si="57"/>
        <v>#DIV/0!</v>
      </c>
      <c r="AM37" s="342" t="e">
        <f t="shared" si="57"/>
        <v>#DIV/0!</v>
      </c>
      <c r="AN37" s="342" t="e">
        <f t="shared" si="57"/>
        <v>#DIV/0!</v>
      </c>
      <c r="AO37" s="342" t="e">
        <f t="shared" si="57"/>
        <v>#DIV/0!</v>
      </c>
      <c r="AP37" s="342" t="e">
        <f t="shared" si="57"/>
        <v>#DIV/0!</v>
      </c>
      <c r="AQ37" s="342" t="e">
        <f t="shared" si="57"/>
        <v>#DIV/0!</v>
      </c>
    </row>
    <row r="38" spans="1:43" s="324" customFormat="1">
      <c r="A38" s="325" t="s">
        <v>31</v>
      </c>
      <c r="B38" s="326">
        <f t="shared" ref="B38:H39" si="58">K38+S38+AK38</f>
        <v>85.77000000000001</v>
      </c>
      <c r="C38" s="325">
        <f t="shared" si="58"/>
        <v>3586</v>
      </c>
      <c r="D38" s="325">
        <f t="shared" si="58"/>
        <v>2946</v>
      </c>
      <c r="E38" s="325">
        <f t="shared" si="58"/>
        <v>190</v>
      </c>
      <c r="F38" s="325">
        <f t="shared" si="58"/>
        <v>402.5</v>
      </c>
      <c r="G38" s="325">
        <f t="shared" si="58"/>
        <v>124</v>
      </c>
      <c r="H38" s="325">
        <f t="shared" si="58"/>
        <v>2197.5</v>
      </c>
      <c r="I38" s="327"/>
      <c r="J38" s="328" t="s">
        <v>31</v>
      </c>
      <c r="K38" s="332">
        <v>49.92</v>
      </c>
      <c r="L38" s="333">
        <v>1858</v>
      </c>
      <c r="M38" s="333">
        <v>1521.5</v>
      </c>
      <c r="N38" s="333">
        <v>10.5</v>
      </c>
      <c r="O38" s="333">
        <v>254</v>
      </c>
      <c r="P38" s="333">
        <v>77.5</v>
      </c>
      <c r="Q38" s="333">
        <v>1160.5</v>
      </c>
      <c r="R38" s="331" t="s">
        <v>31</v>
      </c>
      <c r="S38" s="332">
        <v>35.850000000000009</v>
      </c>
      <c r="T38" s="333">
        <v>1728</v>
      </c>
      <c r="U38" s="333">
        <v>1424.5</v>
      </c>
      <c r="V38" s="333">
        <v>179.5</v>
      </c>
      <c r="W38" s="333">
        <v>148.5</v>
      </c>
      <c r="X38" s="333">
        <v>46.5</v>
      </c>
      <c r="Y38" s="333">
        <v>1037</v>
      </c>
      <c r="Z38" s="278"/>
      <c r="AA38" s="325" t="s">
        <v>31</v>
      </c>
      <c r="AB38" s="332">
        <v>17.299999999999997</v>
      </c>
      <c r="AC38" s="333">
        <v>992.5</v>
      </c>
      <c r="AD38" s="333">
        <v>829</v>
      </c>
      <c r="AE38" s="333">
        <v>153.5</v>
      </c>
      <c r="AF38" s="333">
        <v>36</v>
      </c>
      <c r="AG38" s="333">
        <v>13</v>
      </c>
      <c r="AH38" s="333">
        <v>622.5</v>
      </c>
      <c r="AI38" s="278"/>
      <c r="AJ38" s="325" t="s">
        <v>31</v>
      </c>
      <c r="AK38" s="325">
        <v>0</v>
      </c>
      <c r="AL38" s="325">
        <v>0</v>
      </c>
      <c r="AM38" s="325">
        <f>AN38+AO38+AP38+AQ38</f>
        <v>0</v>
      </c>
      <c r="AN38" s="325">
        <v>0</v>
      </c>
      <c r="AO38" s="325">
        <v>0</v>
      </c>
      <c r="AP38" s="325">
        <v>0</v>
      </c>
      <c r="AQ38" s="325">
        <v>0</v>
      </c>
    </row>
    <row r="39" spans="1:43" s="324" customFormat="1">
      <c r="A39" s="347" t="s">
        <v>32</v>
      </c>
      <c r="B39" s="348">
        <f t="shared" si="58"/>
        <v>155.69999999999999</v>
      </c>
      <c r="C39" s="347">
        <f t="shared" si="58"/>
        <v>8477</v>
      </c>
      <c r="D39" s="347">
        <f t="shared" si="58"/>
        <v>7837</v>
      </c>
      <c r="E39" s="347">
        <f t="shared" si="58"/>
        <v>744</v>
      </c>
      <c r="F39" s="347">
        <f t="shared" si="58"/>
        <v>294</v>
      </c>
      <c r="G39" s="347">
        <f t="shared" si="58"/>
        <v>52</v>
      </c>
      <c r="H39" s="347">
        <f t="shared" si="58"/>
        <v>6747</v>
      </c>
      <c r="I39" s="327"/>
      <c r="J39" s="349" t="s">
        <v>32</v>
      </c>
      <c r="K39" s="453">
        <v>101.6</v>
      </c>
      <c r="L39" s="453">
        <v>6785</v>
      </c>
      <c r="M39" s="334">
        <v>6183</v>
      </c>
      <c r="N39" s="453">
        <v>667</v>
      </c>
      <c r="O39" s="453">
        <v>267</v>
      </c>
      <c r="P39" s="453">
        <v>51</v>
      </c>
      <c r="Q39" s="453">
        <v>5198</v>
      </c>
      <c r="R39" s="351" t="s">
        <v>32</v>
      </c>
      <c r="S39" s="350">
        <v>50.8</v>
      </c>
      <c r="T39" s="350">
        <v>1627</v>
      </c>
      <c r="U39" s="334">
        <v>1610</v>
      </c>
      <c r="V39" s="350">
        <v>75</v>
      </c>
      <c r="W39" s="350">
        <v>24</v>
      </c>
      <c r="X39" s="350">
        <v>1</v>
      </c>
      <c r="Y39" s="350">
        <v>1510</v>
      </c>
      <c r="AA39" s="350" t="s">
        <v>32</v>
      </c>
      <c r="AB39" s="350">
        <v>11.9</v>
      </c>
      <c r="AC39" s="350">
        <v>503</v>
      </c>
      <c r="AD39" s="336">
        <v>482</v>
      </c>
      <c r="AE39" s="350">
        <v>8</v>
      </c>
      <c r="AF39" s="350">
        <v>0</v>
      </c>
      <c r="AG39" s="350">
        <v>0</v>
      </c>
      <c r="AH39" s="350">
        <v>474</v>
      </c>
      <c r="AJ39" s="350" t="s">
        <v>32</v>
      </c>
      <c r="AK39" s="350">
        <v>3.3</v>
      </c>
      <c r="AL39" s="350">
        <v>65</v>
      </c>
      <c r="AM39" s="347">
        <v>44</v>
      </c>
      <c r="AN39" s="350">
        <v>2</v>
      </c>
      <c r="AO39" s="350">
        <v>3</v>
      </c>
      <c r="AP39" s="350">
        <v>0</v>
      </c>
      <c r="AQ39" s="350">
        <v>39</v>
      </c>
    </row>
    <row r="40" spans="1:43" s="324" customFormat="1">
      <c r="A40" s="286" t="s">
        <v>12</v>
      </c>
      <c r="B40" s="295">
        <f t="shared" ref="B40:H40" si="59">B39/B38*100</f>
        <v>181.53200419727173</v>
      </c>
      <c r="C40" s="295">
        <f t="shared" si="59"/>
        <v>236.39152258784159</v>
      </c>
      <c r="D40" s="295">
        <f t="shared" si="59"/>
        <v>266.02172437202989</v>
      </c>
      <c r="E40" s="295">
        <f t="shared" si="59"/>
        <v>391.5789473684211</v>
      </c>
      <c r="F40" s="295">
        <f t="shared" si="59"/>
        <v>73.043478260869563</v>
      </c>
      <c r="G40" s="295">
        <f t="shared" si="59"/>
        <v>41.935483870967744</v>
      </c>
      <c r="H40" s="295">
        <f t="shared" si="59"/>
        <v>307.03071672354952</v>
      </c>
      <c r="I40" s="337"/>
      <c r="J40" s="352" t="s">
        <v>12</v>
      </c>
      <c r="K40" s="353">
        <f t="shared" ref="K40:Q40" si="60">K39/K38*100</f>
        <v>203.52564102564102</v>
      </c>
      <c r="L40" s="353">
        <f t="shared" si="60"/>
        <v>365.17761033369214</v>
      </c>
      <c r="M40" s="353">
        <f t="shared" si="60"/>
        <v>406.3752875451857</v>
      </c>
      <c r="N40" s="353">
        <f t="shared" si="60"/>
        <v>6352.3809523809523</v>
      </c>
      <c r="O40" s="353">
        <f t="shared" si="60"/>
        <v>105.11811023622046</v>
      </c>
      <c r="P40" s="353">
        <f t="shared" si="60"/>
        <v>65.806451612903231</v>
      </c>
      <c r="Q40" s="353">
        <f t="shared" si="60"/>
        <v>447.91038345540716</v>
      </c>
      <c r="R40" s="352" t="s">
        <v>12</v>
      </c>
      <c r="S40" s="353">
        <f t="shared" ref="S40:Y40" si="61">S39/S38*100</f>
        <v>141.70153417015337</v>
      </c>
      <c r="T40" s="353">
        <f t="shared" si="61"/>
        <v>94.155092592592595</v>
      </c>
      <c r="U40" s="353">
        <f t="shared" si="61"/>
        <v>113.02211302211302</v>
      </c>
      <c r="V40" s="353">
        <f t="shared" si="61"/>
        <v>41.782729805013929</v>
      </c>
      <c r="W40" s="353">
        <f t="shared" si="61"/>
        <v>16.161616161616163</v>
      </c>
      <c r="X40" s="353">
        <f t="shared" si="61"/>
        <v>2.1505376344086025</v>
      </c>
      <c r="Y40" s="353">
        <f t="shared" si="61"/>
        <v>145.61234329797492</v>
      </c>
      <c r="AA40" s="352" t="s">
        <v>12</v>
      </c>
      <c r="AB40" s="353">
        <f t="shared" ref="AB40:AH40" si="62">AB39/AB38*100</f>
        <v>68.78612716763007</v>
      </c>
      <c r="AC40" s="353">
        <f t="shared" si="62"/>
        <v>50.680100755667503</v>
      </c>
      <c r="AD40" s="353">
        <f t="shared" si="62"/>
        <v>58.142340168878171</v>
      </c>
      <c r="AE40" s="353">
        <f t="shared" si="62"/>
        <v>5.2117263843648214</v>
      </c>
      <c r="AF40" s="353">
        <f t="shared" si="62"/>
        <v>0</v>
      </c>
      <c r="AG40" s="353">
        <f t="shared" si="62"/>
        <v>0</v>
      </c>
      <c r="AH40" s="353">
        <f t="shared" si="62"/>
        <v>76.144578313253007</v>
      </c>
      <c r="AJ40" s="352" t="s">
        <v>12</v>
      </c>
      <c r="AK40" s="353" t="e">
        <f t="shared" ref="AK40:AQ40" si="63">AK39/AK38*100</f>
        <v>#DIV/0!</v>
      </c>
      <c r="AL40" s="353" t="e">
        <f t="shared" si="63"/>
        <v>#DIV/0!</v>
      </c>
      <c r="AM40" s="353" t="e">
        <f t="shared" si="63"/>
        <v>#DIV/0!</v>
      </c>
      <c r="AN40" s="353" t="e">
        <f t="shared" si="63"/>
        <v>#DIV/0!</v>
      </c>
      <c r="AO40" s="353" t="e">
        <f t="shared" si="63"/>
        <v>#DIV/0!</v>
      </c>
      <c r="AP40" s="353" t="e">
        <f t="shared" si="63"/>
        <v>#DIV/0!</v>
      </c>
      <c r="AQ40" s="353" t="e">
        <f t="shared" si="63"/>
        <v>#DIV/0!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64">K9+S9+AK9</f>
        <v>521.82999999999993</v>
      </c>
      <c r="C46" s="83">
        <f t="shared" si="64"/>
        <v>27020</v>
      </c>
      <c r="D46" s="83">
        <f t="shared" si="64"/>
        <v>22650.5</v>
      </c>
      <c r="E46" s="83">
        <f t="shared" si="64"/>
        <v>3352</v>
      </c>
      <c r="F46" s="83">
        <f t="shared" si="64"/>
        <v>4427.5</v>
      </c>
      <c r="G46" s="83">
        <f t="shared" si="64"/>
        <v>844</v>
      </c>
      <c r="H46" s="83">
        <f t="shared" si="64"/>
        <v>13603</v>
      </c>
    </row>
    <row r="47" spans="1:43">
      <c r="A47" s="84" t="s">
        <v>50</v>
      </c>
      <c r="B47" s="83">
        <f t="shared" si="64"/>
        <v>684</v>
      </c>
      <c r="C47" s="83">
        <f t="shared" si="64"/>
        <v>30710</v>
      </c>
      <c r="D47" s="83">
        <f t="shared" si="64"/>
        <v>28421</v>
      </c>
      <c r="E47" s="83">
        <f t="shared" si="64"/>
        <v>3149</v>
      </c>
      <c r="F47" s="83">
        <f t="shared" si="64"/>
        <v>1132</v>
      </c>
      <c r="G47" s="83">
        <f t="shared" si="64"/>
        <v>99</v>
      </c>
      <c r="H47" s="83">
        <f t="shared" si="64"/>
        <v>24041</v>
      </c>
    </row>
    <row r="48" spans="1:43">
      <c r="A48" s="85" t="s">
        <v>44</v>
      </c>
      <c r="B48" s="86">
        <f>B47/B46*100</f>
        <v>131.07717072609856</v>
      </c>
      <c r="C48" s="86">
        <f t="shared" ref="C48:H48" si="65">C47/C46*100</f>
        <v>113.65655070318283</v>
      </c>
      <c r="D48" s="86">
        <f t="shared" si="65"/>
        <v>125.47625880223394</v>
      </c>
      <c r="E48" s="86">
        <f t="shared" si="65"/>
        <v>93.943914081145579</v>
      </c>
      <c r="F48" s="86">
        <f t="shared" si="65"/>
        <v>25.567476002258609</v>
      </c>
      <c r="G48" s="86">
        <f t="shared" si="65"/>
        <v>11.729857819905213</v>
      </c>
      <c r="H48" s="86">
        <f t="shared" si="65"/>
        <v>176.73307358670883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66">K13+S13+AK13</f>
        <v>78.969999999999985</v>
      </c>
      <c r="C50" s="90">
        <f t="shared" si="66"/>
        <v>5329.5</v>
      </c>
      <c r="D50" s="90">
        <f t="shared" si="66"/>
        <v>4141</v>
      </c>
      <c r="E50" s="90">
        <f t="shared" si="66"/>
        <v>1389</v>
      </c>
      <c r="F50" s="90">
        <f t="shared" si="66"/>
        <v>1510.5</v>
      </c>
      <c r="G50" s="90">
        <f t="shared" si="66"/>
        <v>247</v>
      </c>
      <c r="H50" s="90">
        <f t="shared" si="66"/>
        <v>853</v>
      </c>
    </row>
    <row r="51" spans="1:8">
      <c r="A51" s="75" t="s">
        <v>50</v>
      </c>
      <c r="B51" s="90">
        <f t="shared" si="66"/>
        <v>57.199999999999996</v>
      </c>
      <c r="C51" s="90">
        <f t="shared" si="66"/>
        <v>3923</v>
      </c>
      <c r="D51" s="90">
        <f t="shared" si="66"/>
        <v>3417</v>
      </c>
      <c r="E51" s="90">
        <f t="shared" si="66"/>
        <v>1091</v>
      </c>
      <c r="F51" s="90">
        <f t="shared" si="66"/>
        <v>756</v>
      </c>
      <c r="G51" s="90">
        <f t="shared" si="66"/>
        <v>18</v>
      </c>
      <c r="H51" s="90">
        <f t="shared" si="66"/>
        <v>1552</v>
      </c>
    </row>
    <row r="52" spans="1:8">
      <c r="A52" s="75" t="s">
        <v>44</v>
      </c>
      <c r="B52" s="91">
        <f t="shared" ref="B52:H52" si="67">B51/B50*100</f>
        <v>72.432569330125375</v>
      </c>
      <c r="C52" s="91">
        <f t="shared" si="67"/>
        <v>73.609156581292794</v>
      </c>
      <c r="D52" s="91">
        <f t="shared" si="67"/>
        <v>82.516300410528856</v>
      </c>
      <c r="E52" s="91">
        <f t="shared" si="67"/>
        <v>78.545716342692586</v>
      </c>
      <c r="F52" s="91">
        <f t="shared" si="67"/>
        <v>50.049652432969218</v>
      </c>
      <c r="G52" s="91">
        <f t="shared" si="67"/>
        <v>7.2874493927125501</v>
      </c>
      <c r="H52" s="91">
        <f t="shared" si="67"/>
        <v>181.94607268464244</v>
      </c>
    </row>
    <row r="53" spans="1:8">
      <c r="A53" s="75" t="s">
        <v>13</v>
      </c>
      <c r="B53" s="90">
        <f t="shared" ref="B53:H55" si="68">K16+S16+AK16</f>
        <v>22.199999999999996</v>
      </c>
      <c r="C53" s="90">
        <f t="shared" si="68"/>
        <v>1606</v>
      </c>
      <c r="D53" s="90">
        <f t="shared" si="68"/>
        <v>1344</v>
      </c>
      <c r="E53" s="90">
        <f t="shared" si="68"/>
        <v>530</v>
      </c>
      <c r="F53" s="90">
        <f t="shared" si="68"/>
        <v>357</v>
      </c>
      <c r="G53" s="90">
        <f t="shared" si="68"/>
        <v>3</v>
      </c>
      <c r="H53" s="90">
        <f t="shared" si="68"/>
        <v>454</v>
      </c>
    </row>
    <row r="54" spans="1:8">
      <c r="A54" s="92" t="s">
        <v>14</v>
      </c>
      <c r="B54" s="90">
        <f t="shared" si="68"/>
        <v>7.9</v>
      </c>
      <c r="C54" s="90">
        <f t="shared" si="68"/>
        <v>586</v>
      </c>
      <c r="D54" s="90">
        <f t="shared" si="68"/>
        <v>517</v>
      </c>
      <c r="E54" s="90">
        <f t="shared" si="68"/>
        <v>118</v>
      </c>
      <c r="F54" s="90">
        <f t="shared" si="68"/>
        <v>126</v>
      </c>
      <c r="G54" s="90">
        <f t="shared" si="68"/>
        <v>11</v>
      </c>
      <c r="H54" s="90">
        <f t="shared" si="68"/>
        <v>262</v>
      </c>
    </row>
    <row r="55" spans="1:8">
      <c r="A55" s="75" t="s">
        <v>15</v>
      </c>
      <c r="B55" s="90">
        <f t="shared" si="68"/>
        <v>0</v>
      </c>
      <c r="C55" s="90">
        <f t="shared" si="68"/>
        <v>0</v>
      </c>
      <c r="D55" s="90">
        <f t="shared" si="68"/>
        <v>0</v>
      </c>
      <c r="E55" s="90">
        <f t="shared" si="68"/>
        <v>0</v>
      </c>
      <c r="F55" s="90">
        <f t="shared" si="68"/>
        <v>0</v>
      </c>
      <c r="G55" s="90">
        <f t="shared" si="68"/>
        <v>0</v>
      </c>
      <c r="H55" s="90">
        <f t="shared" si="68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69">K20+S20+AK20</f>
        <v>442.86</v>
      </c>
      <c r="C57" s="90">
        <f t="shared" si="69"/>
        <v>21690.5</v>
      </c>
      <c r="D57" s="90">
        <f t="shared" si="69"/>
        <v>18509.5</v>
      </c>
      <c r="E57" s="90">
        <f t="shared" si="69"/>
        <v>1963</v>
      </c>
      <c r="F57" s="90">
        <f t="shared" si="69"/>
        <v>2917</v>
      </c>
      <c r="G57" s="90">
        <f t="shared" si="69"/>
        <v>597</v>
      </c>
      <c r="H57" s="90">
        <f t="shared" si="69"/>
        <v>12750</v>
      </c>
    </row>
    <row r="58" spans="1:8">
      <c r="A58" s="92" t="s">
        <v>50</v>
      </c>
      <c r="B58" s="90">
        <f t="shared" si="69"/>
        <v>626.80000000000007</v>
      </c>
      <c r="C58" s="90">
        <f t="shared" si="69"/>
        <v>26787</v>
      </c>
      <c r="D58" s="90">
        <f t="shared" si="69"/>
        <v>25004</v>
      </c>
      <c r="E58" s="90">
        <f t="shared" si="69"/>
        <v>2058</v>
      </c>
      <c r="F58" s="90">
        <f t="shared" si="69"/>
        <v>376</v>
      </c>
      <c r="G58" s="90">
        <f t="shared" si="69"/>
        <v>81</v>
      </c>
      <c r="H58" s="90">
        <f t="shared" si="69"/>
        <v>22489</v>
      </c>
    </row>
    <row r="59" spans="1:8">
      <c r="A59" s="75" t="s">
        <v>44</v>
      </c>
      <c r="B59" s="91">
        <f t="shared" ref="B59:H59" si="70">B58/B57*100</f>
        <v>141.53457074470487</v>
      </c>
      <c r="C59" s="91">
        <f t="shared" si="70"/>
        <v>123.49646158456467</v>
      </c>
      <c r="D59" s="91">
        <f t="shared" si="70"/>
        <v>135.08738755774061</v>
      </c>
      <c r="E59" s="91">
        <f t="shared" si="70"/>
        <v>104.83953132959756</v>
      </c>
      <c r="F59" s="91">
        <f t="shared" si="70"/>
        <v>12.889955433664724</v>
      </c>
      <c r="G59" s="91">
        <f t="shared" si="70"/>
        <v>13.5678391959799</v>
      </c>
      <c r="H59" s="91">
        <f t="shared" si="70"/>
        <v>176.38431372549019</v>
      </c>
    </row>
    <row r="60" spans="1:8">
      <c r="A60" s="75" t="s">
        <v>21</v>
      </c>
      <c r="B60" s="90">
        <f t="shared" ref="B60:H61" si="71">K23+S23+AK23</f>
        <v>201.26</v>
      </c>
      <c r="C60" s="90">
        <f t="shared" si="71"/>
        <v>11664</v>
      </c>
      <c r="D60" s="90">
        <f t="shared" si="71"/>
        <v>9809</v>
      </c>
      <c r="E60" s="90">
        <f t="shared" si="71"/>
        <v>1533</v>
      </c>
      <c r="F60" s="90">
        <f t="shared" si="71"/>
        <v>1230.5</v>
      </c>
      <c r="G60" s="90">
        <f t="shared" si="71"/>
        <v>289</v>
      </c>
      <c r="H60" s="90">
        <f t="shared" si="71"/>
        <v>6572.5</v>
      </c>
    </row>
    <row r="61" spans="1:8">
      <c r="A61" s="75" t="s">
        <v>51</v>
      </c>
      <c r="B61" s="90">
        <f t="shared" si="71"/>
        <v>302.3</v>
      </c>
      <c r="C61" s="90">
        <f t="shared" si="71"/>
        <v>10771</v>
      </c>
      <c r="D61" s="90">
        <f t="shared" si="71"/>
        <v>10163</v>
      </c>
      <c r="E61" s="90">
        <f t="shared" si="71"/>
        <v>1106</v>
      </c>
      <c r="F61" s="90">
        <f t="shared" si="71"/>
        <v>57</v>
      </c>
      <c r="G61" s="90">
        <f t="shared" si="71"/>
        <v>24</v>
      </c>
      <c r="H61" s="90">
        <f t="shared" si="71"/>
        <v>8976</v>
      </c>
    </row>
    <row r="62" spans="1:8">
      <c r="A62" s="75" t="s">
        <v>12</v>
      </c>
      <c r="B62" s="91">
        <f t="shared" ref="B62:H62" si="72">B61/B60*100</f>
        <v>150.20371658551127</v>
      </c>
      <c r="C62" s="91">
        <f t="shared" si="72"/>
        <v>92.343964334705078</v>
      </c>
      <c r="D62" s="91">
        <f t="shared" si="72"/>
        <v>103.60893057396268</v>
      </c>
      <c r="E62" s="91">
        <f t="shared" si="72"/>
        <v>72.146118721461178</v>
      </c>
      <c r="F62" s="91">
        <f t="shared" si="72"/>
        <v>4.6322633075985369</v>
      </c>
      <c r="G62" s="91">
        <f t="shared" si="72"/>
        <v>8.3044982698961931</v>
      </c>
      <c r="H62" s="91">
        <f t="shared" si="72"/>
        <v>136.56903765690376</v>
      </c>
    </row>
    <row r="63" spans="1:8">
      <c r="A63" s="75" t="s">
        <v>23</v>
      </c>
      <c r="B63" s="90">
        <f t="shared" ref="B63:H64" si="73">K26+S26+AK26</f>
        <v>67.200000000000017</v>
      </c>
      <c r="C63" s="90">
        <f t="shared" si="73"/>
        <v>2332</v>
      </c>
      <c r="D63" s="90">
        <f t="shared" si="73"/>
        <v>2096.5</v>
      </c>
      <c r="E63" s="90">
        <f t="shared" si="73"/>
        <v>86.5</v>
      </c>
      <c r="F63" s="90">
        <f t="shared" si="73"/>
        <v>433</v>
      </c>
      <c r="G63" s="90">
        <f t="shared" si="73"/>
        <v>48.5</v>
      </c>
      <c r="H63" s="90">
        <f t="shared" si="73"/>
        <v>1505.5</v>
      </c>
    </row>
    <row r="64" spans="1:8">
      <c r="A64" s="75" t="s">
        <v>45</v>
      </c>
      <c r="B64" s="90">
        <f t="shared" si="73"/>
        <v>66.900000000000006</v>
      </c>
      <c r="C64" s="90">
        <f t="shared" si="73"/>
        <v>1680</v>
      </c>
      <c r="D64" s="90">
        <f t="shared" si="73"/>
        <v>1632</v>
      </c>
      <c r="E64" s="90">
        <f t="shared" si="73"/>
        <v>136</v>
      </c>
      <c r="F64" s="90">
        <f t="shared" si="73"/>
        <v>10</v>
      </c>
      <c r="G64" s="90">
        <f t="shared" si="73"/>
        <v>0</v>
      </c>
      <c r="H64" s="90">
        <f t="shared" si="73"/>
        <v>1486</v>
      </c>
    </row>
    <row r="65" spans="1:8">
      <c r="A65" s="75" t="s">
        <v>12</v>
      </c>
      <c r="B65" s="91">
        <f t="shared" ref="B65:H65" si="74">B64/B63*100</f>
        <v>99.553571428571402</v>
      </c>
      <c r="C65" s="91">
        <f t="shared" si="74"/>
        <v>72.041166380789022</v>
      </c>
      <c r="D65" s="91">
        <f t="shared" si="74"/>
        <v>77.844025757214411</v>
      </c>
      <c r="E65" s="91">
        <f t="shared" si="74"/>
        <v>157.22543352601156</v>
      </c>
      <c r="F65" s="91">
        <f t="shared" si="74"/>
        <v>2.3094688221709005</v>
      </c>
      <c r="G65" s="91">
        <f t="shared" si="74"/>
        <v>0</v>
      </c>
      <c r="H65" s="91">
        <f t="shared" si="74"/>
        <v>98.704749252739958</v>
      </c>
    </row>
    <row r="66" spans="1:8">
      <c r="A66" s="75" t="s">
        <v>25</v>
      </c>
      <c r="B66" s="90">
        <f t="shared" ref="B66:H67" si="75">K29+S29+AK29</f>
        <v>64.47</v>
      </c>
      <c r="C66" s="90">
        <f t="shared" si="75"/>
        <v>2395</v>
      </c>
      <c r="D66" s="90">
        <f t="shared" si="75"/>
        <v>2143</v>
      </c>
      <c r="E66" s="90">
        <f t="shared" si="75"/>
        <v>94</v>
      </c>
      <c r="F66" s="90">
        <f t="shared" si="75"/>
        <v>447.5</v>
      </c>
      <c r="G66" s="90">
        <f t="shared" si="75"/>
        <v>14.5</v>
      </c>
      <c r="H66" s="90">
        <f t="shared" si="75"/>
        <v>1560</v>
      </c>
    </row>
    <row r="67" spans="1:8">
      <c r="A67" s="75" t="s">
        <v>46</v>
      </c>
      <c r="B67" s="90">
        <f t="shared" si="75"/>
        <v>68.999999999999986</v>
      </c>
      <c r="C67" s="90">
        <f t="shared" si="75"/>
        <v>3265</v>
      </c>
      <c r="D67" s="90">
        <f t="shared" si="75"/>
        <v>3047</v>
      </c>
      <c r="E67" s="90">
        <f t="shared" si="75"/>
        <v>0</v>
      </c>
      <c r="F67" s="90">
        <f t="shared" si="75"/>
        <v>0</v>
      </c>
      <c r="G67" s="90">
        <f t="shared" si="75"/>
        <v>1</v>
      </c>
      <c r="H67" s="90">
        <f t="shared" si="75"/>
        <v>3046</v>
      </c>
    </row>
    <row r="68" spans="1:8">
      <c r="A68" s="75" t="s">
        <v>12</v>
      </c>
      <c r="B68" s="91">
        <f t="shared" ref="B68:H68" si="76">B67/B66*100</f>
        <v>107.02652396463471</v>
      </c>
      <c r="C68" s="91">
        <f t="shared" si="76"/>
        <v>136.32567849686848</v>
      </c>
      <c r="D68" s="91">
        <f t="shared" si="76"/>
        <v>142.18385440970602</v>
      </c>
      <c r="E68" s="91">
        <f t="shared" si="76"/>
        <v>0</v>
      </c>
      <c r="F68" s="91">
        <f t="shared" si="76"/>
        <v>0</v>
      </c>
      <c r="G68" s="91">
        <f t="shared" si="76"/>
        <v>6.8965517241379306</v>
      </c>
      <c r="H68" s="91">
        <f t="shared" si="76"/>
        <v>195.25641025641025</v>
      </c>
    </row>
    <row r="69" spans="1:8">
      <c r="A69" s="75" t="s">
        <v>27</v>
      </c>
      <c r="B69" s="90">
        <f t="shared" ref="B69:H70" si="77">K32+S32+AK32</f>
        <v>2.61</v>
      </c>
      <c r="C69" s="90">
        <f t="shared" si="77"/>
        <v>179</v>
      </c>
      <c r="D69" s="90">
        <f t="shared" si="77"/>
        <v>156.5</v>
      </c>
      <c r="E69" s="90">
        <f t="shared" si="77"/>
        <v>59.5</v>
      </c>
      <c r="F69" s="90">
        <f t="shared" si="77"/>
        <v>19</v>
      </c>
      <c r="G69" s="90">
        <f t="shared" si="77"/>
        <v>6</v>
      </c>
      <c r="H69" s="90">
        <f t="shared" si="77"/>
        <v>70.5</v>
      </c>
    </row>
    <row r="70" spans="1:8">
      <c r="A70" s="75" t="s">
        <v>47</v>
      </c>
      <c r="B70" s="90">
        <f t="shared" si="77"/>
        <v>0.6</v>
      </c>
      <c r="C70" s="90">
        <f t="shared" si="77"/>
        <v>91</v>
      </c>
      <c r="D70" s="90">
        <f t="shared" si="77"/>
        <v>90</v>
      </c>
      <c r="E70" s="90">
        <f t="shared" si="77"/>
        <v>36</v>
      </c>
      <c r="F70" s="90">
        <f t="shared" si="77"/>
        <v>4</v>
      </c>
      <c r="G70" s="90">
        <f t="shared" si="77"/>
        <v>3</v>
      </c>
      <c r="H70" s="90">
        <f t="shared" si="77"/>
        <v>47</v>
      </c>
    </row>
    <row r="71" spans="1:8">
      <c r="A71" s="75" t="s">
        <v>12</v>
      </c>
      <c r="B71" s="91">
        <f t="shared" ref="B71:H71" si="78">B70/B69*100</f>
        <v>22.988505747126435</v>
      </c>
      <c r="C71" s="91">
        <f t="shared" si="78"/>
        <v>50.837988826815639</v>
      </c>
      <c r="D71" s="91">
        <f t="shared" si="78"/>
        <v>57.507987220447291</v>
      </c>
      <c r="E71" s="91">
        <f t="shared" si="78"/>
        <v>60.504201680672267</v>
      </c>
      <c r="F71" s="91">
        <f t="shared" si="78"/>
        <v>21.052631578947366</v>
      </c>
      <c r="G71" s="91">
        <f t="shared" si="78"/>
        <v>50</v>
      </c>
      <c r="H71" s="91">
        <f t="shared" si="78"/>
        <v>66.666666666666657</v>
      </c>
    </row>
    <row r="72" spans="1:8">
      <c r="A72" s="75" t="s">
        <v>29</v>
      </c>
      <c r="B72" s="90">
        <f t="shared" ref="B72:H73" si="79">K35+S35+AK35</f>
        <v>21.549999999999997</v>
      </c>
      <c r="C72" s="90">
        <f t="shared" si="79"/>
        <v>1534.5</v>
      </c>
      <c r="D72" s="90">
        <f t="shared" si="79"/>
        <v>1358.5</v>
      </c>
      <c r="E72" s="90">
        <f t="shared" si="79"/>
        <v>0</v>
      </c>
      <c r="F72" s="90">
        <f t="shared" si="79"/>
        <v>384.5</v>
      </c>
      <c r="G72" s="90">
        <f t="shared" si="79"/>
        <v>115</v>
      </c>
      <c r="H72" s="90">
        <f t="shared" si="79"/>
        <v>844</v>
      </c>
    </row>
    <row r="73" spans="1:8">
      <c r="A73" s="75" t="s">
        <v>48</v>
      </c>
      <c r="B73" s="90">
        <f t="shared" si="79"/>
        <v>32.300000000000004</v>
      </c>
      <c r="C73" s="90">
        <f t="shared" si="79"/>
        <v>2503</v>
      </c>
      <c r="D73" s="90">
        <f t="shared" si="79"/>
        <v>2235</v>
      </c>
      <c r="E73" s="90">
        <f t="shared" si="79"/>
        <v>36</v>
      </c>
      <c r="F73" s="90">
        <f t="shared" si="79"/>
        <v>11</v>
      </c>
      <c r="G73" s="90">
        <f t="shared" si="79"/>
        <v>1</v>
      </c>
      <c r="H73" s="90">
        <f t="shared" si="79"/>
        <v>2187</v>
      </c>
    </row>
    <row r="74" spans="1:8">
      <c r="A74" s="75" t="s">
        <v>12</v>
      </c>
      <c r="B74" s="91">
        <f t="shared" ref="B74:H74" si="80">B73/B72*100</f>
        <v>149.88399071925758</v>
      </c>
      <c r="C74" s="91">
        <f t="shared" si="80"/>
        <v>163.11502117953731</v>
      </c>
      <c r="D74" s="91">
        <f t="shared" si="80"/>
        <v>164.5196908354803</v>
      </c>
      <c r="E74" s="91" t="e">
        <f t="shared" si="80"/>
        <v>#DIV/0!</v>
      </c>
      <c r="F74" s="91">
        <f t="shared" si="80"/>
        <v>2.860858257477243</v>
      </c>
      <c r="G74" s="91">
        <f t="shared" si="80"/>
        <v>0.86956521739130432</v>
      </c>
      <c r="H74" s="91">
        <f t="shared" si="80"/>
        <v>259.12322274881518</v>
      </c>
    </row>
    <row r="75" spans="1:8">
      <c r="A75" s="75" t="s">
        <v>31</v>
      </c>
      <c r="B75" s="90">
        <f t="shared" ref="B75:H76" si="81">K38+S38+AK38</f>
        <v>85.77000000000001</v>
      </c>
      <c r="C75" s="90">
        <f t="shared" si="81"/>
        <v>3586</v>
      </c>
      <c r="D75" s="90">
        <f t="shared" si="81"/>
        <v>2946</v>
      </c>
      <c r="E75" s="90">
        <f t="shared" si="81"/>
        <v>190</v>
      </c>
      <c r="F75" s="90">
        <f t="shared" si="81"/>
        <v>402.5</v>
      </c>
      <c r="G75" s="90">
        <f t="shared" si="81"/>
        <v>124</v>
      </c>
      <c r="H75" s="90">
        <f t="shared" si="81"/>
        <v>2197.5</v>
      </c>
    </row>
    <row r="76" spans="1:8">
      <c r="A76" s="75" t="s">
        <v>52</v>
      </c>
      <c r="B76" s="90">
        <f t="shared" si="81"/>
        <v>155.69999999999999</v>
      </c>
      <c r="C76" s="90">
        <f t="shared" si="81"/>
        <v>8477</v>
      </c>
      <c r="D76" s="90">
        <f t="shared" si="81"/>
        <v>7837</v>
      </c>
      <c r="E76" s="90">
        <f t="shared" si="81"/>
        <v>744</v>
      </c>
      <c r="F76" s="90">
        <f t="shared" si="81"/>
        <v>294</v>
      </c>
      <c r="G76" s="90">
        <f t="shared" si="81"/>
        <v>52</v>
      </c>
      <c r="H76" s="90">
        <f t="shared" si="81"/>
        <v>6747</v>
      </c>
    </row>
    <row r="77" spans="1:8">
      <c r="A77" s="75" t="s">
        <v>12</v>
      </c>
      <c r="B77" s="91">
        <f t="shared" ref="B77:H77" si="82">B76/B75*100</f>
        <v>181.53200419727173</v>
      </c>
      <c r="C77" s="91">
        <f t="shared" si="82"/>
        <v>236.39152258784159</v>
      </c>
      <c r="D77" s="91">
        <f t="shared" si="82"/>
        <v>266.02172437202989</v>
      </c>
      <c r="E77" s="91">
        <f t="shared" si="82"/>
        <v>391.5789473684211</v>
      </c>
      <c r="F77" s="91">
        <f t="shared" si="82"/>
        <v>73.043478260869563</v>
      </c>
      <c r="G77" s="91">
        <f t="shared" si="82"/>
        <v>41.935483870967744</v>
      </c>
      <c r="H77" s="91">
        <f t="shared" si="82"/>
        <v>307.03071672354952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83">B9-B46</f>
        <v>0</v>
      </c>
      <c r="C83" s="83">
        <f t="shared" si="83"/>
        <v>0</v>
      </c>
      <c r="D83" s="83">
        <f t="shared" si="83"/>
        <v>0</v>
      </c>
      <c r="E83" s="83">
        <f t="shared" si="83"/>
        <v>0</v>
      </c>
      <c r="F83" s="83">
        <f t="shared" si="83"/>
        <v>0</v>
      </c>
      <c r="G83" s="83">
        <f t="shared" si="83"/>
        <v>0</v>
      </c>
      <c r="H83" s="83">
        <f t="shared" si="83"/>
        <v>0</v>
      </c>
    </row>
    <row r="84" spans="1:8">
      <c r="A84" s="84" t="s">
        <v>50</v>
      </c>
      <c r="B84" s="83">
        <f t="shared" si="83"/>
        <v>0</v>
      </c>
      <c r="C84" s="83">
        <f t="shared" si="83"/>
        <v>0</v>
      </c>
      <c r="D84" s="83">
        <f t="shared" si="83"/>
        <v>0</v>
      </c>
      <c r="E84" s="83">
        <f t="shared" si="83"/>
        <v>0</v>
      </c>
      <c r="F84" s="83">
        <f t="shared" si="83"/>
        <v>0</v>
      </c>
      <c r="G84" s="83">
        <f t="shared" si="83"/>
        <v>0</v>
      </c>
      <c r="H84" s="83">
        <f t="shared" si="83"/>
        <v>0</v>
      </c>
    </row>
    <row r="85" spans="1:8">
      <c r="A85" s="85" t="s">
        <v>44</v>
      </c>
      <c r="B85" s="83">
        <f t="shared" si="83"/>
        <v>0</v>
      </c>
      <c r="C85" s="83">
        <f t="shared" si="83"/>
        <v>0</v>
      </c>
      <c r="D85" s="83">
        <f t="shared" si="83"/>
        <v>0</v>
      </c>
      <c r="E85" s="83">
        <f t="shared" si="83"/>
        <v>0</v>
      </c>
      <c r="F85" s="83">
        <f t="shared" si="83"/>
        <v>0</v>
      </c>
      <c r="G85" s="83">
        <f t="shared" si="83"/>
        <v>0</v>
      </c>
      <c r="H85" s="83">
        <f t="shared" si="83"/>
        <v>0</v>
      </c>
    </row>
    <row r="86" spans="1:8">
      <c r="A86" s="87" t="s">
        <v>11</v>
      </c>
      <c r="B86" s="83">
        <f t="shared" si="83"/>
        <v>0</v>
      </c>
      <c r="C86" s="83">
        <f t="shared" si="83"/>
        <v>0</v>
      </c>
      <c r="D86" s="83">
        <f t="shared" si="83"/>
        <v>0</v>
      </c>
      <c r="E86" s="83">
        <f t="shared" si="83"/>
        <v>0</v>
      </c>
      <c r="F86" s="83">
        <f t="shared" si="83"/>
        <v>0</v>
      </c>
      <c r="G86" s="83">
        <f t="shared" si="83"/>
        <v>0</v>
      </c>
      <c r="H86" s="83">
        <f t="shared" si="83"/>
        <v>0</v>
      </c>
    </row>
    <row r="87" spans="1:8">
      <c r="A87" s="75" t="s">
        <v>40</v>
      </c>
      <c r="B87" s="83">
        <f t="shared" si="83"/>
        <v>0</v>
      </c>
      <c r="C87" s="83">
        <f t="shared" si="83"/>
        <v>0</v>
      </c>
      <c r="D87" s="83">
        <f t="shared" si="83"/>
        <v>0</v>
      </c>
      <c r="E87" s="83">
        <f t="shared" si="83"/>
        <v>0</v>
      </c>
      <c r="F87" s="83">
        <f t="shared" si="83"/>
        <v>0</v>
      </c>
      <c r="G87" s="83">
        <f t="shared" si="83"/>
        <v>0</v>
      </c>
      <c r="H87" s="83">
        <f t="shared" si="83"/>
        <v>0</v>
      </c>
    </row>
    <row r="88" spans="1:8">
      <c r="A88" s="75" t="s">
        <v>50</v>
      </c>
      <c r="B88" s="83">
        <f t="shared" si="83"/>
        <v>0</v>
      </c>
      <c r="C88" s="83">
        <f t="shared" si="83"/>
        <v>0</v>
      </c>
      <c r="D88" s="83">
        <f t="shared" si="83"/>
        <v>0</v>
      </c>
      <c r="E88" s="83">
        <f t="shared" si="83"/>
        <v>0</v>
      </c>
      <c r="F88" s="83">
        <f t="shared" si="83"/>
        <v>0</v>
      </c>
      <c r="G88" s="83">
        <f t="shared" si="83"/>
        <v>0</v>
      </c>
      <c r="H88" s="83">
        <f t="shared" si="83"/>
        <v>0</v>
      </c>
    </row>
    <row r="89" spans="1:8">
      <c r="A89" s="75" t="s">
        <v>44</v>
      </c>
      <c r="B89" s="83">
        <f t="shared" si="83"/>
        <v>0</v>
      </c>
      <c r="C89" s="83">
        <f t="shared" si="83"/>
        <v>0</v>
      </c>
      <c r="D89" s="83">
        <f t="shared" si="83"/>
        <v>0</v>
      </c>
      <c r="E89" s="83">
        <f t="shared" si="83"/>
        <v>0</v>
      </c>
      <c r="F89" s="83">
        <f t="shared" si="83"/>
        <v>0</v>
      </c>
      <c r="G89" s="83">
        <f t="shared" si="83"/>
        <v>0</v>
      </c>
      <c r="H89" s="83">
        <f t="shared" si="83"/>
        <v>0</v>
      </c>
    </row>
    <row r="90" spans="1:8">
      <c r="A90" s="75" t="s">
        <v>13</v>
      </c>
      <c r="B90" s="83">
        <f t="shared" si="83"/>
        <v>0</v>
      </c>
      <c r="C90" s="83">
        <f t="shared" si="83"/>
        <v>0</v>
      </c>
      <c r="D90" s="83">
        <f t="shared" si="83"/>
        <v>0</v>
      </c>
      <c r="E90" s="83">
        <f t="shared" si="83"/>
        <v>0</v>
      </c>
      <c r="F90" s="83">
        <f t="shared" si="83"/>
        <v>0</v>
      </c>
      <c r="G90" s="83">
        <f t="shared" si="83"/>
        <v>0</v>
      </c>
      <c r="H90" s="83">
        <f t="shared" si="83"/>
        <v>0</v>
      </c>
    </row>
    <row r="91" spans="1:8">
      <c r="A91" s="92" t="s">
        <v>14</v>
      </c>
      <c r="B91" s="83">
        <f t="shared" si="83"/>
        <v>0</v>
      </c>
      <c r="C91" s="83">
        <f t="shared" si="83"/>
        <v>0</v>
      </c>
      <c r="D91" s="83">
        <f t="shared" si="83"/>
        <v>0</v>
      </c>
      <c r="E91" s="83">
        <f t="shared" si="83"/>
        <v>0</v>
      </c>
      <c r="F91" s="83">
        <f t="shared" si="83"/>
        <v>0</v>
      </c>
      <c r="G91" s="83">
        <f t="shared" si="83"/>
        <v>0</v>
      </c>
      <c r="H91" s="83">
        <f t="shared" si="83"/>
        <v>0</v>
      </c>
    </row>
    <row r="92" spans="1:8">
      <c r="A92" s="75" t="s">
        <v>15</v>
      </c>
      <c r="B92" s="83">
        <f t="shared" si="83"/>
        <v>0</v>
      </c>
      <c r="C92" s="83">
        <f t="shared" si="83"/>
        <v>0</v>
      </c>
      <c r="D92" s="83">
        <f t="shared" si="83"/>
        <v>0</v>
      </c>
      <c r="E92" s="83">
        <f t="shared" si="83"/>
        <v>0</v>
      </c>
      <c r="F92" s="83">
        <f t="shared" si="83"/>
        <v>0</v>
      </c>
      <c r="G92" s="83">
        <f t="shared" si="83"/>
        <v>0</v>
      </c>
      <c r="H92" s="83">
        <f t="shared" si="83"/>
        <v>0</v>
      </c>
    </row>
    <row r="93" spans="1:8">
      <c r="A93" s="87" t="s">
        <v>16</v>
      </c>
      <c r="B93" s="83">
        <f t="shared" si="83"/>
        <v>0</v>
      </c>
      <c r="C93" s="83">
        <f t="shared" si="83"/>
        <v>0</v>
      </c>
      <c r="D93" s="83">
        <f t="shared" si="83"/>
        <v>0</v>
      </c>
      <c r="E93" s="83">
        <f t="shared" si="83"/>
        <v>0</v>
      </c>
      <c r="F93" s="83">
        <f t="shared" si="83"/>
        <v>0</v>
      </c>
      <c r="G93" s="83">
        <f t="shared" si="83"/>
        <v>0</v>
      </c>
      <c r="H93" s="83">
        <f t="shared" si="83"/>
        <v>0</v>
      </c>
    </row>
    <row r="94" spans="1:8">
      <c r="A94" s="75" t="s">
        <v>40</v>
      </c>
      <c r="B94" s="83">
        <f t="shared" si="83"/>
        <v>0</v>
      </c>
      <c r="C94" s="83">
        <f t="shared" si="83"/>
        <v>0</v>
      </c>
      <c r="D94" s="83">
        <f t="shared" si="83"/>
        <v>0</v>
      </c>
      <c r="E94" s="83">
        <f t="shared" si="83"/>
        <v>0</v>
      </c>
      <c r="F94" s="83">
        <f t="shared" si="83"/>
        <v>0</v>
      </c>
      <c r="G94" s="83">
        <f t="shared" si="83"/>
        <v>0</v>
      </c>
      <c r="H94" s="83">
        <f t="shared" si="83"/>
        <v>0</v>
      </c>
    </row>
    <row r="95" spans="1:8">
      <c r="A95" s="92" t="s">
        <v>50</v>
      </c>
      <c r="B95" s="83">
        <f t="shared" si="83"/>
        <v>0</v>
      </c>
      <c r="C95" s="83">
        <f t="shared" si="83"/>
        <v>0</v>
      </c>
      <c r="D95" s="83">
        <f t="shared" si="83"/>
        <v>0</v>
      </c>
      <c r="E95" s="83">
        <f t="shared" si="83"/>
        <v>0</v>
      </c>
      <c r="F95" s="83">
        <f t="shared" si="83"/>
        <v>0</v>
      </c>
      <c r="G95" s="83">
        <f t="shared" si="83"/>
        <v>0</v>
      </c>
      <c r="H95" s="83">
        <f t="shared" si="83"/>
        <v>0</v>
      </c>
    </row>
    <row r="96" spans="1:8">
      <c r="A96" s="75" t="s">
        <v>44</v>
      </c>
      <c r="B96" s="83">
        <f t="shared" si="83"/>
        <v>0</v>
      </c>
      <c r="C96" s="83">
        <f t="shared" si="83"/>
        <v>0</v>
      </c>
      <c r="D96" s="83">
        <f t="shared" si="83"/>
        <v>0</v>
      </c>
      <c r="E96" s="83">
        <f t="shared" si="83"/>
        <v>0</v>
      </c>
      <c r="F96" s="83">
        <f t="shared" si="83"/>
        <v>0</v>
      </c>
      <c r="G96" s="83">
        <f t="shared" si="83"/>
        <v>0</v>
      </c>
      <c r="H96" s="83">
        <f t="shared" si="83"/>
        <v>0</v>
      </c>
    </row>
    <row r="97" spans="1:8">
      <c r="A97" s="75" t="s">
        <v>21</v>
      </c>
      <c r="B97" s="83">
        <f t="shared" si="83"/>
        <v>0</v>
      </c>
      <c r="C97" s="83">
        <f t="shared" si="83"/>
        <v>0</v>
      </c>
      <c r="D97" s="83">
        <f t="shared" si="83"/>
        <v>0</v>
      </c>
      <c r="E97" s="83">
        <f t="shared" si="83"/>
        <v>0</v>
      </c>
      <c r="F97" s="83">
        <f t="shared" si="83"/>
        <v>0</v>
      </c>
      <c r="G97" s="83">
        <f t="shared" si="83"/>
        <v>0</v>
      </c>
      <c r="H97" s="83">
        <f t="shared" si="83"/>
        <v>0</v>
      </c>
    </row>
    <row r="98" spans="1:8">
      <c r="A98" s="75" t="s">
        <v>51</v>
      </c>
      <c r="B98" s="83">
        <f t="shared" si="83"/>
        <v>0</v>
      </c>
      <c r="C98" s="83">
        <f t="shared" si="83"/>
        <v>0</v>
      </c>
      <c r="D98" s="83">
        <f t="shared" si="83"/>
        <v>0</v>
      </c>
      <c r="E98" s="83">
        <f t="shared" si="83"/>
        <v>0</v>
      </c>
      <c r="F98" s="83">
        <f t="shared" si="83"/>
        <v>0</v>
      </c>
      <c r="G98" s="83">
        <f t="shared" si="83"/>
        <v>0</v>
      </c>
      <c r="H98" s="83">
        <f t="shared" si="83"/>
        <v>0</v>
      </c>
    </row>
    <row r="99" spans="1:8">
      <c r="A99" s="75" t="s">
        <v>12</v>
      </c>
      <c r="B99" s="83">
        <f t="shared" ref="B99:H114" si="84">B25-B62</f>
        <v>0</v>
      </c>
      <c r="C99" s="83">
        <f t="shared" si="84"/>
        <v>0</v>
      </c>
      <c r="D99" s="83">
        <f t="shared" si="84"/>
        <v>0</v>
      </c>
      <c r="E99" s="83">
        <f t="shared" si="84"/>
        <v>0</v>
      </c>
      <c r="F99" s="83">
        <f t="shared" si="84"/>
        <v>0</v>
      </c>
      <c r="G99" s="83">
        <f t="shared" si="84"/>
        <v>0</v>
      </c>
      <c r="H99" s="83">
        <f t="shared" si="84"/>
        <v>0</v>
      </c>
    </row>
    <row r="100" spans="1:8">
      <c r="A100" s="75" t="s">
        <v>23</v>
      </c>
      <c r="B100" s="83">
        <f t="shared" si="84"/>
        <v>0</v>
      </c>
      <c r="C100" s="83">
        <f t="shared" si="84"/>
        <v>0</v>
      </c>
      <c r="D100" s="83">
        <f t="shared" si="84"/>
        <v>0</v>
      </c>
      <c r="E100" s="83">
        <f t="shared" si="84"/>
        <v>0</v>
      </c>
      <c r="F100" s="83">
        <f t="shared" si="84"/>
        <v>0</v>
      </c>
      <c r="G100" s="83">
        <f t="shared" si="84"/>
        <v>0</v>
      </c>
      <c r="H100" s="83">
        <f t="shared" si="84"/>
        <v>0</v>
      </c>
    </row>
    <row r="101" spans="1:8">
      <c r="A101" s="75" t="s">
        <v>45</v>
      </c>
      <c r="B101" s="83">
        <f t="shared" si="84"/>
        <v>0</v>
      </c>
      <c r="C101" s="83">
        <f t="shared" si="84"/>
        <v>0</v>
      </c>
      <c r="D101" s="83">
        <f t="shared" si="84"/>
        <v>0</v>
      </c>
      <c r="E101" s="83">
        <f t="shared" si="84"/>
        <v>0</v>
      </c>
      <c r="F101" s="83">
        <f t="shared" si="84"/>
        <v>0</v>
      </c>
      <c r="G101" s="83">
        <f t="shared" si="84"/>
        <v>0</v>
      </c>
      <c r="H101" s="83">
        <f t="shared" si="84"/>
        <v>0</v>
      </c>
    </row>
    <row r="102" spans="1:8">
      <c r="A102" s="75" t="s">
        <v>12</v>
      </c>
      <c r="B102" s="83">
        <f t="shared" si="84"/>
        <v>0</v>
      </c>
      <c r="C102" s="83">
        <f t="shared" si="84"/>
        <v>0</v>
      </c>
      <c r="D102" s="83">
        <f t="shared" si="84"/>
        <v>0</v>
      </c>
      <c r="E102" s="83">
        <f t="shared" si="84"/>
        <v>0</v>
      </c>
      <c r="F102" s="83">
        <f t="shared" si="84"/>
        <v>0</v>
      </c>
      <c r="G102" s="83">
        <f t="shared" si="84"/>
        <v>0</v>
      </c>
      <c r="H102" s="83">
        <f t="shared" si="84"/>
        <v>0</v>
      </c>
    </row>
    <row r="103" spans="1:8">
      <c r="A103" s="75" t="s">
        <v>25</v>
      </c>
      <c r="B103" s="83">
        <f t="shared" si="84"/>
        <v>0</v>
      </c>
      <c r="C103" s="83">
        <f t="shared" si="84"/>
        <v>0</v>
      </c>
      <c r="D103" s="83">
        <f t="shared" si="84"/>
        <v>0</v>
      </c>
      <c r="E103" s="83">
        <f t="shared" si="84"/>
        <v>0</v>
      </c>
      <c r="F103" s="83">
        <f t="shared" si="84"/>
        <v>0</v>
      </c>
      <c r="G103" s="83">
        <f t="shared" si="84"/>
        <v>0</v>
      </c>
      <c r="H103" s="83">
        <f t="shared" si="84"/>
        <v>0</v>
      </c>
    </row>
    <row r="104" spans="1:8">
      <c r="A104" s="75" t="s">
        <v>46</v>
      </c>
      <c r="B104" s="83">
        <f t="shared" si="84"/>
        <v>0</v>
      </c>
      <c r="C104" s="83">
        <f t="shared" si="84"/>
        <v>0</v>
      </c>
      <c r="D104" s="83">
        <f t="shared" si="84"/>
        <v>0</v>
      </c>
      <c r="E104" s="83">
        <f t="shared" si="84"/>
        <v>0</v>
      </c>
      <c r="F104" s="83">
        <f t="shared" si="84"/>
        <v>0</v>
      </c>
      <c r="G104" s="83">
        <f t="shared" si="84"/>
        <v>0</v>
      </c>
      <c r="H104" s="83">
        <f t="shared" si="84"/>
        <v>0</v>
      </c>
    </row>
    <row r="105" spans="1:8">
      <c r="A105" s="75" t="s">
        <v>12</v>
      </c>
      <c r="B105" s="83">
        <f t="shared" si="84"/>
        <v>0</v>
      </c>
      <c r="C105" s="83">
        <f t="shared" si="84"/>
        <v>0</v>
      </c>
      <c r="D105" s="83">
        <f t="shared" si="84"/>
        <v>0</v>
      </c>
      <c r="E105" s="83">
        <f t="shared" si="84"/>
        <v>0</v>
      </c>
      <c r="F105" s="83">
        <f t="shared" si="84"/>
        <v>0</v>
      </c>
      <c r="G105" s="83">
        <f t="shared" si="84"/>
        <v>0</v>
      </c>
      <c r="H105" s="83">
        <f t="shared" si="84"/>
        <v>0</v>
      </c>
    </row>
    <row r="106" spans="1:8">
      <c r="A106" s="75" t="s">
        <v>27</v>
      </c>
      <c r="B106" s="83">
        <f t="shared" si="84"/>
        <v>0</v>
      </c>
      <c r="C106" s="83">
        <f t="shared" si="84"/>
        <v>0</v>
      </c>
      <c r="D106" s="83">
        <f t="shared" si="84"/>
        <v>0</v>
      </c>
      <c r="E106" s="83">
        <f t="shared" si="84"/>
        <v>0</v>
      </c>
      <c r="F106" s="83">
        <f t="shared" si="84"/>
        <v>0</v>
      </c>
      <c r="G106" s="83">
        <f t="shared" si="84"/>
        <v>0</v>
      </c>
      <c r="H106" s="83">
        <f t="shared" si="84"/>
        <v>0</v>
      </c>
    </row>
    <row r="107" spans="1:8">
      <c r="A107" s="75" t="s">
        <v>47</v>
      </c>
      <c r="B107" s="83">
        <f t="shared" si="84"/>
        <v>0</v>
      </c>
      <c r="C107" s="83">
        <f t="shared" si="84"/>
        <v>0</v>
      </c>
      <c r="D107" s="83">
        <f t="shared" si="84"/>
        <v>0</v>
      </c>
      <c r="E107" s="83">
        <f t="shared" si="84"/>
        <v>0</v>
      </c>
      <c r="F107" s="83">
        <f t="shared" si="84"/>
        <v>0</v>
      </c>
      <c r="G107" s="83">
        <f t="shared" si="84"/>
        <v>0</v>
      </c>
      <c r="H107" s="83">
        <f t="shared" si="84"/>
        <v>0</v>
      </c>
    </row>
    <row r="108" spans="1:8">
      <c r="A108" s="75" t="s">
        <v>12</v>
      </c>
      <c r="B108" s="83">
        <f t="shared" si="84"/>
        <v>0</v>
      </c>
      <c r="C108" s="83">
        <f t="shared" si="84"/>
        <v>0</v>
      </c>
      <c r="D108" s="83">
        <f t="shared" si="84"/>
        <v>0</v>
      </c>
      <c r="E108" s="83">
        <f t="shared" si="84"/>
        <v>0</v>
      </c>
      <c r="F108" s="83">
        <f t="shared" si="84"/>
        <v>0</v>
      </c>
      <c r="G108" s="83">
        <f t="shared" si="84"/>
        <v>0</v>
      </c>
      <c r="H108" s="83">
        <f t="shared" si="84"/>
        <v>0</v>
      </c>
    </row>
    <row r="109" spans="1:8">
      <c r="A109" s="75" t="s">
        <v>29</v>
      </c>
      <c r="B109" s="83">
        <f t="shared" si="84"/>
        <v>0</v>
      </c>
      <c r="C109" s="83">
        <f t="shared" si="84"/>
        <v>0</v>
      </c>
      <c r="D109" s="83">
        <f t="shared" si="84"/>
        <v>0</v>
      </c>
      <c r="E109" s="83">
        <f t="shared" si="84"/>
        <v>0</v>
      </c>
      <c r="F109" s="83">
        <f t="shared" si="84"/>
        <v>0</v>
      </c>
      <c r="G109" s="83">
        <f t="shared" si="84"/>
        <v>0</v>
      </c>
      <c r="H109" s="83">
        <f t="shared" si="84"/>
        <v>0</v>
      </c>
    </row>
    <row r="110" spans="1:8">
      <c r="A110" s="75" t="s">
        <v>48</v>
      </c>
      <c r="B110" s="83">
        <f t="shared" si="84"/>
        <v>0</v>
      </c>
      <c r="C110" s="83">
        <f t="shared" si="84"/>
        <v>0</v>
      </c>
      <c r="D110" s="83">
        <f t="shared" si="84"/>
        <v>0</v>
      </c>
      <c r="E110" s="83">
        <f t="shared" si="84"/>
        <v>0</v>
      </c>
      <c r="F110" s="83">
        <f t="shared" si="84"/>
        <v>0</v>
      </c>
      <c r="G110" s="83">
        <f t="shared" si="84"/>
        <v>0</v>
      </c>
      <c r="H110" s="83">
        <f t="shared" si="84"/>
        <v>0</v>
      </c>
    </row>
    <row r="111" spans="1:8">
      <c r="A111" s="75" t="s">
        <v>12</v>
      </c>
      <c r="B111" s="83">
        <f t="shared" si="84"/>
        <v>0</v>
      </c>
      <c r="C111" s="83">
        <f t="shared" si="84"/>
        <v>0</v>
      </c>
      <c r="D111" s="83">
        <f t="shared" si="84"/>
        <v>0</v>
      </c>
      <c r="E111" s="83" t="e">
        <f t="shared" si="84"/>
        <v>#DIV/0!</v>
      </c>
      <c r="F111" s="83">
        <f t="shared" si="84"/>
        <v>0</v>
      </c>
      <c r="G111" s="83">
        <f t="shared" si="84"/>
        <v>0</v>
      </c>
      <c r="H111" s="83">
        <f t="shared" si="84"/>
        <v>0</v>
      </c>
    </row>
    <row r="112" spans="1:8">
      <c r="A112" s="75" t="s">
        <v>31</v>
      </c>
      <c r="B112" s="83">
        <f t="shared" si="84"/>
        <v>0</v>
      </c>
      <c r="C112" s="83">
        <f t="shared" si="84"/>
        <v>0</v>
      </c>
      <c r="D112" s="83">
        <f t="shared" si="84"/>
        <v>0</v>
      </c>
      <c r="E112" s="83">
        <f t="shared" si="84"/>
        <v>0</v>
      </c>
      <c r="F112" s="83">
        <f t="shared" si="84"/>
        <v>0</v>
      </c>
      <c r="G112" s="83">
        <f t="shared" si="84"/>
        <v>0</v>
      </c>
      <c r="H112" s="83">
        <f t="shared" si="84"/>
        <v>0</v>
      </c>
    </row>
    <row r="113" spans="1:8">
      <c r="A113" s="75" t="s">
        <v>52</v>
      </c>
      <c r="B113" s="83">
        <f t="shared" si="84"/>
        <v>0</v>
      </c>
      <c r="C113" s="83">
        <f t="shared" si="84"/>
        <v>0</v>
      </c>
      <c r="D113" s="83">
        <f t="shared" si="84"/>
        <v>0</v>
      </c>
      <c r="E113" s="83">
        <f t="shared" si="84"/>
        <v>0</v>
      </c>
      <c r="F113" s="83">
        <f t="shared" si="84"/>
        <v>0</v>
      </c>
      <c r="G113" s="83">
        <f t="shared" si="84"/>
        <v>0</v>
      </c>
      <c r="H113" s="83">
        <f t="shared" si="84"/>
        <v>0</v>
      </c>
    </row>
    <row r="114" spans="1:8">
      <c r="A114" s="75" t="s">
        <v>12</v>
      </c>
      <c r="B114" s="83">
        <f t="shared" si="84"/>
        <v>0</v>
      </c>
      <c r="C114" s="83">
        <f t="shared" si="84"/>
        <v>0</v>
      </c>
      <c r="D114" s="83">
        <f t="shared" si="84"/>
        <v>0</v>
      </c>
      <c r="E114" s="83">
        <f t="shared" si="84"/>
        <v>0</v>
      </c>
      <c r="F114" s="83">
        <f t="shared" si="84"/>
        <v>0</v>
      </c>
      <c r="G114" s="83">
        <f t="shared" si="84"/>
        <v>0</v>
      </c>
      <c r="H114" s="83">
        <f t="shared" si="84"/>
        <v>0</v>
      </c>
    </row>
  </sheetData>
  <mergeCells count="19">
    <mergeCell ref="AJ19:AQ19"/>
    <mergeCell ref="A19:H19"/>
    <mergeCell ref="J19:Q19"/>
    <mergeCell ref="R19:Y19"/>
    <mergeCell ref="AA19:AH19"/>
    <mergeCell ref="A12:H12"/>
    <mergeCell ref="J12:Q12"/>
    <mergeCell ref="R12:Y12"/>
    <mergeCell ref="AA12:AH12"/>
    <mergeCell ref="AJ12:AQ12"/>
    <mergeCell ref="B1:H1"/>
    <mergeCell ref="B2:H2"/>
    <mergeCell ref="A5:H5"/>
    <mergeCell ref="AA8:AH8"/>
    <mergeCell ref="AJ8:AQ8"/>
    <mergeCell ref="A4:H4"/>
    <mergeCell ref="A8:H8"/>
    <mergeCell ref="J8:Q8"/>
    <mergeCell ref="R8:Y8"/>
  </mergeCells>
  <phoneticPr fontId="17" type="noConversion"/>
  <pageMargins left="0.39" right="0.31" top="0.31" bottom="0.32" header="0.17" footer="0.19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8"/>
  <dimension ref="A1:AS114"/>
  <sheetViews>
    <sheetView zoomScale="153" zoomScaleNormal="153" workbookViewId="0">
      <selection activeCell="A9" sqref="A9:AQ40"/>
    </sheetView>
  </sheetViews>
  <sheetFormatPr defaultRowHeight="13.2"/>
  <cols>
    <col min="1" max="1" width="14.88671875" customWidth="1"/>
    <col min="2" max="2" width="7.88671875" customWidth="1"/>
    <col min="3" max="3" width="7.5546875" customWidth="1"/>
    <col min="5" max="5" width="7" customWidth="1"/>
    <col min="6" max="6" width="6.5546875" customWidth="1"/>
    <col min="7" max="7" width="7.5546875" customWidth="1"/>
    <col min="8" max="8" width="6.33203125" customWidth="1"/>
    <col min="9" max="9" width="5" customWidth="1"/>
    <col min="10" max="10" width="14.88671875" customWidth="1"/>
    <col min="11" max="11" width="7" customWidth="1"/>
    <col min="12" max="12" width="8.109375" customWidth="1"/>
    <col min="14" max="14" width="5.88671875" customWidth="1"/>
    <col min="15" max="16" width="7" customWidth="1"/>
    <col min="17" max="17" width="6.5546875" customWidth="1"/>
    <col min="18" max="18" width="14.88671875" customWidth="1"/>
    <col min="19" max="19" width="9" customWidth="1"/>
    <col min="20" max="20" width="7.5546875" customWidth="1"/>
    <col min="21" max="21" width="8.109375" customWidth="1"/>
    <col min="22" max="22" width="7.109375" customWidth="1"/>
    <col min="23" max="23" width="7.33203125" customWidth="1"/>
    <col min="24" max="24" width="7.88671875" customWidth="1"/>
    <col min="25" max="25" width="7.109375" customWidth="1"/>
    <col min="26" max="26" width="6.33203125" customWidth="1"/>
    <col min="27" max="27" width="14" customWidth="1"/>
    <col min="28" max="28" width="7" customWidth="1"/>
    <col min="29" max="29" width="7.88671875" customWidth="1"/>
    <col min="31" max="31" width="6.6640625" customWidth="1"/>
    <col min="32" max="32" width="7.109375" customWidth="1"/>
    <col min="33" max="33" width="7.33203125" customWidth="1"/>
    <col min="34" max="34" width="7.109375" customWidth="1"/>
    <col min="36" max="36" width="10.109375" customWidth="1"/>
  </cols>
  <sheetData>
    <row r="1" spans="1:45" ht="15.6">
      <c r="A1" s="388"/>
      <c r="B1" s="476" t="s">
        <v>92</v>
      </c>
      <c r="C1" s="476"/>
      <c r="D1" s="476"/>
      <c r="E1" s="476"/>
      <c r="F1" s="476"/>
      <c r="G1" s="476"/>
      <c r="H1" s="476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ht="15.6">
      <c r="A2" s="389"/>
      <c r="B2" s="477" t="s">
        <v>95</v>
      </c>
      <c r="C2" s="477"/>
      <c r="D2" s="477"/>
      <c r="E2" s="477"/>
      <c r="F2" s="477"/>
      <c r="G2" s="477"/>
      <c r="H2" s="477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15.6">
      <c r="A3" s="389"/>
      <c r="B3" s="389"/>
      <c r="C3" s="278"/>
      <c r="D3" s="391"/>
      <c r="E3" s="392"/>
      <c r="F3" s="392"/>
      <c r="G3" s="392"/>
      <c r="H3" s="39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</row>
    <row r="4" spans="1:45" ht="30" customHeight="1">
      <c r="A4" s="479" t="s">
        <v>113</v>
      </c>
      <c r="B4" s="479"/>
      <c r="C4" s="479"/>
      <c r="D4" s="479"/>
      <c r="E4" s="479"/>
      <c r="F4" s="479"/>
      <c r="G4" s="479"/>
      <c r="H4" s="479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</row>
    <row r="5" spans="1:45" ht="15.6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45">
      <c r="A6" s="56" t="s">
        <v>0</v>
      </c>
      <c r="B6" s="98" t="s">
        <v>1</v>
      </c>
      <c r="C6" s="98" t="s">
        <v>2</v>
      </c>
      <c r="D6" s="98" t="s">
        <v>3</v>
      </c>
      <c r="E6" s="98" t="s">
        <v>4</v>
      </c>
      <c r="F6" s="98" t="s">
        <v>5</v>
      </c>
      <c r="G6" s="98" t="s">
        <v>6</v>
      </c>
      <c r="H6" s="98" t="s">
        <v>7</v>
      </c>
      <c r="I6" s="11"/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11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11"/>
      <c r="AJ6" s="98" t="s">
        <v>0</v>
      </c>
      <c r="AK6" s="98" t="s">
        <v>1</v>
      </c>
      <c r="AL6" s="98" t="s">
        <v>2</v>
      </c>
      <c r="AM6" s="98" t="s">
        <v>3</v>
      </c>
      <c r="AN6" s="98" t="s">
        <v>4</v>
      </c>
      <c r="AO6" s="98" t="s">
        <v>5</v>
      </c>
      <c r="AP6" s="98" t="s">
        <v>6</v>
      </c>
      <c r="AQ6" s="98" t="s">
        <v>7</v>
      </c>
      <c r="AR6" s="11"/>
      <c r="AS6" s="11"/>
    </row>
    <row r="7" spans="1:45">
      <c r="A7" s="6"/>
      <c r="B7" s="98" t="s">
        <v>8</v>
      </c>
      <c r="C7" s="98" t="s">
        <v>9</v>
      </c>
      <c r="D7" s="98" t="s">
        <v>10</v>
      </c>
      <c r="E7" s="98" t="s">
        <v>9</v>
      </c>
      <c r="F7" s="98" t="s">
        <v>9</v>
      </c>
      <c r="G7" s="98" t="s">
        <v>9</v>
      </c>
      <c r="H7" s="98" t="s">
        <v>9</v>
      </c>
      <c r="I7" s="11"/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11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11"/>
      <c r="AJ7" s="98"/>
      <c r="AK7" s="98" t="s">
        <v>8</v>
      </c>
      <c r="AL7" s="98" t="s">
        <v>9</v>
      </c>
      <c r="AM7" s="98" t="s">
        <v>10</v>
      </c>
      <c r="AN7" s="98" t="s">
        <v>9</v>
      </c>
      <c r="AO7" s="98" t="s">
        <v>9</v>
      </c>
      <c r="AP7" s="98" t="s">
        <v>9</v>
      </c>
      <c r="AQ7" s="98" t="s">
        <v>9</v>
      </c>
      <c r="AR7" s="11"/>
      <c r="AS7" s="11"/>
    </row>
    <row r="8" spans="1:45">
      <c r="A8" s="480" t="s">
        <v>17</v>
      </c>
      <c r="B8" s="480"/>
      <c r="C8" s="480"/>
      <c r="D8" s="480"/>
      <c r="E8" s="480"/>
      <c r="F8" s="480"/>
      <c r="G8" s="480"/>
      <c r="H8" s="480"/>
      <c r="I8" s="115"/>
      <c r="J8" s="480" t="s">
        <v>17</v>
      </c>
      <c r="K8" s="480"/>
      <c r="L8" s="480"/>
      <c r="M8" s="480"/>
      <c r="N8" s="480"/>
      <c r="O8" s="480"/>
      <c r="P8" s="480"/>
      <c r="Q8" s="480"/>
      <c r="R8" s="480" t="s">
        <v>17</v>
      </c>
      <c r="S8" s="480"/>
      <c r="T8" s="480"/>
      <c r="U8" s="480"/>
      <c r="V8" s="480"/>
      <c r="W8" s="480"/>
      <c r="X8" s="480"/>
      <c r="Y8" s="480"/>
      <c r="Z8" s="115"/>
      <c r="AA8" s="480" t="s">
        <v>17</v>
      </c>
      <c r="AB8" s="480"/>
      <c r="AC8" s="480"/>
      <c r="AD8" s="480"/>
      <c r="AE8" s="480"/>
      <c r="AF8" s="480"/>
      <c r="AG8" s="480"/>
      <c r="AH8" s="480"/>
      <c r="AI8" s="115"/>
      <c r="AJ8" s="480" t="s">
        <v>17</v>
      </c>
      <c r="AK8" s="480"/>
      <c r="AL8" s="480"/>
      <c r="AM8" s="480"/>
      <c r="AN8" s="480"/>
      <c r="AO8" s="480"/>
      <c r="AP8" s="480"/>
      <c r="AQ8" s="480"/>
      <c r="AR8" s="115"/>
      <c r="AS8" s="115"/>
    </row>
    <row r="9" spans="1:45">
      <c r="A9" s="354" t="s">
        <v>18</v>
      </c>
      <c r="B9" s="354">
        <f>+B13+B20</f>
        <v>1159.2</v>
      </c>
      <c r="C9" s="354">
        <f t="shared" ref="C9:H10" si="0">+C13+C20</f>
        <v>67092</v>
      </c>
      <c r="D9" s="354">
        <f>SUM(E9:H9)</f>
        <v>55453</v>
      </c>
      <c r="E9" s="354">
        <f t="shared" si="0"/>
        <v>12493</v>
      </c>
      <c r="F9" s="354">
        <f t="shared" si="0"/>
        <v>10502</v>
      </c>
      <c r="G9" s="354">
        <f t="shared" si="0"/>
        <v>1702</v>
      </c>
      <c r="H9" s="354">
        <f t="shared" si="0"/>
        <v>30756</v>
      </c>
      <c r="I9" s="355"/>
      <c r="J9" s="354" t="s">
        <v>18</v>
      </c>
      <c r="K9" s="356">
        <f>+K13+K20</f>
        <v>538.6</v>
      </c>
      <c r="L9" s="354">
        <f t="shared" ref="L9:Q10" si="1">+L13+L20</f>
        <v>26270</v>
      </c>
      <c r="M9" s="357">
        <f>SUM(N9:Q9)</f>
        <v>21695</v>
      </c>
      <c r="N9" s="354">
        <f t="shared" si="1"/>
        <v>2108</v>
      </c>
      <c r="O9" s="354">
        <f t="shared" si="1"/>
        <v>5412</v>
      </c>
      <c r="P9" s="354">
        <f t="shared" si="1"/>
        <v>865</v>
      </c>
      <c r="Q9" s="354">
        <f t="shared" si="1"/>
        <v>13310</v>
      </c>
      <c r="R9" s="354" t="s">
        <v>18</v>
      </c>
      <c r="S9" s="354">
        <f>+S13+S20</f>
        <v>593.29999999999995</v>
      </c>
      <c r="T9" s="354">
        <f t="shared" ref="T9:Y10" si="2">+T13+T20</f>
        <v>39124</v>
      </c>
      <c r="U9" s="354">
        <f>SUM(V9:Y9)</f>
        <v>32553</v>
      </c>
      <c r="V9" s="354">
        <f t="shared" si="2"/>
        <v>10317</v>
      </c>
      <c r="W9" s="354">
        <f t="shared" si="2"/>
        <v>4693</v>
      </c>
      <c r="X9" s="354">
        <f t="shared" si="2"/>
        <v>793</v>
      </c>
      <c r="Y9" s="354">
        <f t="shared" si="2"/>
        <v>16750</v>
      </c>
      <c r="Z9" s="355"/>
      <c r="AA9" s="354" t="s">
        <v>18</v>
      </c>
      <c r="AB9" s="354">
        <f>+AB13+AB20</f>
        <v>283.7</v>
      </c>
      <c r="AC9" s="354">
        <f t="shared" ref="AC9:AH10" si="3">+AC13+AC20</f>
        <v>25959</v>
      </c>
      <c r="AD9" s="354">
        <f>SUM(AE9:AH9)</f>
        <v>20858</v>
      </c>
      <c r="AE9" s="354">
        <f t="shared" si="3"/>
        <v>9991</v>
      </c>
      <c r="AF9" s="354">
        <f t="shared" si="3"/>
        <v>2263</v>
      </c>
      <c r="AG9" s="354">
        <f t="shared" si="3"/>
        <v>267</v>
      </c>
      <c r="AH9" s="354">
        <f t="shared" si="3"/>
        <v>8337</v>
      </c>
      <c r="AI9" s="355"/>
      <c r="AJ9" s="354" t="s">
        <v>18</v>
      </c>
      <c r="AK9" s="356">
        <f>+AK13+AK20</f>
        <v>27.3</v>
      </c>
      <c r="AL9" s="354">
        <f t="shared" ref="AL9:AQ10" si="4">+AL13+AL20</f>
        <v>1698</v>
      </c>
      <c r="AM9" s="354">
        <f>SUM(AN9:AQ9)</f>
        <v>1205</v>
      </c>
      <c r="AN9" s="354">
        <f t="shared" si="4"/>
        <v>68</v>
      </c>
      <c r="AO9" s="354">
        <f t="shared" si="4"/>
        <v>397</v>
      </c>
      <c r="AP9" s="354">
        <f t="shared" si="4"/>
        <v>44</v>
      </c>
      <c r="AQ9" s="354">
        <f t="shared" si="4"/>
        <v>696</v>
      </c>
      <c r="AR9" s="115"/>
      <c r="AS9" s="115"/>
    </row>
    <row r="10" spans="1:45">
      <c r="A10" s="354" t="s">
        <v>19</v>
      </c>
      <c r="B10" s="356">
        <f>+B14+B21</f>
        <v>740.87199999999996</v>
      </c>
      <c r="C10" s="354">
        <f>+C14+C21</f>
        <v>48355</v>
      </c>
      <c r="D10" s="354">
        <f>SUM(E10:H10)</f>
        <v>41580</v>
      </c>
      <c r="E10" s="354">
        <f t="shared" si="0"/>
        <v>9650</v>
      </c>
      <c r="F10" s="354">
        <f t="shared" si="0"/>
        <v>2801</v>
      </c>
      <c r="G10" s="354">
        <f t="shared" si="0"/>
        <v>430</v>
      </c>
      <c r="H10" s="354">
        <f t="shared" si="0"/>
        <v>28699</v>
      </c>
      <c r="I10" s="355"/>
      <c r="J10" s="354" t="s">
        <v>19</v>
      </c>
      <c r="K10" s="354">
        <f>+K14+K21</f>
        <v>340.5</v>
      </c>
      <c r="L10" s="354">
        <f t="shared" si="1"/>
        <v>21330</v>
      </c>
      <c r="M10" s="357">
        <f>SUM(N10:Q10)</f>
        <v>18129</v>
      </c>
      <c r="N10" s="354">
        <f t="shared" si="1"/>
        <v>3767</v>
      </c>
      <c r="O10" s="354">
        <f t="shared" si="1"/>
        <v>1811</v>
      </c>
      <c r="P10" s="354">
        <f t="shared" si="1"/>
        <v>219</v>
      </c>
      <c r="Q10" s="354">
        <f t="shared" si="1"/>
        <v>12332</v>
      </c>
      <c r="R10" s="354" t="s">
        <v>19</v>
      </c>
      <c r="S10" s="354">
        <f>+S14+S21</f>
        <v>398.3</v>
      </c>
      <c r="T10" s="354">
        <f t="shared" si="2"/>
        <v>26698</v>
      </c>
      <c r="U10" s="354">
        <f>SUM(V10:Y10)</f>
        <v>23152</v>
      </c>
      <c r="V10" s="354">
        <f t="shared" si="2"/>
        <v>5867</v>
      </c>
      <c r="W10" s="354">
        <f t="shared" si="2"/>
        <v>990</v>
      </c>
      <c r="X10" s="354">
        <f t="shared" si="2"/>
        <v>209</v>
      </c>
      <c r="Y10" s="354">
        <f t="shared" si="2"/>
        <v>16086</v>
      </c>
      <c r="Z10" s="355"/>
      <c r="AA10" s="354" t="s">
        <v>19</v>
      </c>
      <c r="AB10" s="354">
        <f>+AB14+AB21</f>
        <v>151.5</v>
      </c>
      <c r="AC10" s="354">
        <f t="shared" si="3"/>
        <v>15000</v>
      </c>
      <c r="AD10" s="354">
        <f>SUM(AE10:AH10)</f>
        <v>12925</v>
      </c>
      <c r="AE10" s="354">
        <f t="shared" si="3"/>
        <v>5793</v>
      </c>
      <c r="AF10" s="354">
        <f t="shared" si="3"/>
        <v>689</v>
      </c>
      <c r="AG10" s="354">
        <f t="shared" si="3"/>
        <v>153</v>
      </c>
      <c r="AH10" s="354">
        <f t="shared" si="3"/>
        <v>6290</v>
      </c>
      <c r="AI10" s="355"/>
      <c r="AJ10" s="354" t="s">
        <v>19</v>
      </c>
      <c r="AK10" s="354">
        <f>+AK14+AK21</f>
        <v>2.0720000000000001</v>
      </c>
      <c r="AL10" s="354">
        <f t="shared" si="4"/>
        <v>327</v>
      </c>
      <c r="AM10" s="354">
        <f>SUM(AN10:AQ10)</f>
        <v>299</v>
      </c>
      <c r="AN10" s="354">
        <f t="shared" si="4"/>
        <v>16</v>
      </c>
      <c r="AO10" s="354">
        <f t="shared" si="4"/>
        <v>0</v>
      </c>
      <c r="AP10" s="354">
        <f t="shared" si="4"/>
        <v>2</v>
      </c>
      <c r="AQ10" s="354">
        <f t="shared" si="4"/>
        <v>281</v>
      </c>
      <c r="AR10" s="115"/>
      <c r="AS10" s="115"/>
    </row>
    <row r="11" spans="1:45">
      <c r="A11" s="354" t="s">
        <v>20</v>
      </c>
      <c r="B11" s="358">
        <f t="shared" ref="B11:H11" si="5">+B10/B9*100</f>
        <v>63.912353347135955</v>
      </c>
      <c r="C11" s="358">
        <f>+C10/C9*100</f>
        <v>72.072676325046203</v>
      </c>
      <c r="D11" s="358">
        <f t="shared" si="5"/>
        <v>74.982417542783978</v>
      </c>
      <c r="E11" s="358">
        <f t="shared" si="5"/>
        <v>77.243256223485162</v>
      </c>
      <c r="F11" s="358">
        <f t="shared" si="5"/>
        <v>26.671110264711483</v>
      </c>
      <c r="G11" s="358">
        <f t="shared" si="5"/>
        <v>25.264394829612218</v>
      </c>
      <c r="H11" s="358">
        <f t="shared" si="5"/>
        <v>93.311874105865527</v>
      </c>
      <c r="I11" s="355"/>
      <c r="J11" s="354" t="s">
        <v>20</v>
      </c>
      <c r="K11" s="358">
        <f t="shared" ref="K11:Q11" si="6">+K10/K9*100</f>
        <v>63.219457853694763</v>
      </c>
      <c r="L11" s="358">
        <f t="shared" si="6"/>
        <v>81.195279786829076</v>
      </c>
      <c r="M11" s="358">
        <f t="shared" si="6"/>
        <v>83.563032956902518</v>
      </c>
      <c r="N11" s="358">
        <f t="shared" si="6"/>
        <v>178.7001897533207</v>
      </c>
      <c r="O11" s="358">
        <f t="shared" si="6"/>
        <v>33.462675535846273</v>
      </c>
      <c r="P11" s="358">
        <f t="shared" si="6"/>
        <v>25.317919075144506</v>
      </c>
      <c r="Q11" s="358">
        <f t="shared" si="6"/>
        <v>92.65214124718257</v>
      </c>
      <c r="R11" s="354" t="s">
        <v>20</v>
      </c>
      <c r="S11" s="358">
        <f t="shared" ref="S11:Y11" si="7">+S10/S9*100</f>
        <v>67.132984999157259</v>
      </c>
      <c r="T11" s="358">
        <f t="shared" si="7"/>
        <v>68.239443819650347</v>
      </c>
      <c r="U11" s="358">
        <f t="shared" si="7"/>
        <v>71.120941234294847</v>
      </c>
      <c r="V11" s="358">
        <f t="shared" si="7"/>
        <v>56.867306387515747</v>
      </c>
      <c r="W11" s="358">
        <f t="shared" si="7"/>
        <v>21.095248242062649</v>
      </c>
      <c r="X11" s="358">
        <f t="shared" si="7"/>
        <v>26.355611601513239</v>
      </c>
      <c r="Y11" s="358">
        <f t="shared" si="7"/>
        <v>96.035820895522377</v>
      </c>
      <c r="Z11" s="355"/>
      <c r="AA11" s="354" t="s">
        <v>20</v>
      </c>
      <c r="AB11" s="358">
        <f t="shared" ref="AB11:AH11" si="8">+AB10/AB9*100</f>
        <v>53.401480437081425</v>
      </c>
      <c r="AC11" s="358">
        <f t="shared" si="8"/>
        <v>57.783427712931932</v>
      </c>
      <c r="AD11" s="358">
        <f t="shared" si="8"/>
        <v>61.966631508294178</v>
      </c>
      <c r="AE11" s="358">
        <f t="shared" si="8"/>
        <v>57.982183965569014</v>
      </c>
      <c r="AF11" s="358">
        <f t="shared" si="8"/>
        <v>30.44631020768891</v>
      </c>
      <c r="AG11" s="358">
        <f t="shared" si="8"/>
        <v>57.303370786516851</v>
      </c>
      <c r="AH11" s="358">
        <f t="shared" si="8"/>
        <v>75.446803406501147</v>
      </c>
      <c r="AI11" s="355"/>
      <c r="AJ11" s="354" t="s">
        <v>20</v>
      </c>
      <c r="AK11" s="358">
        <f>+AK10/AK9*100</f>
        <v>7.5897435897435903</v>
      </c>
      <c r="AL11" s="358">
        <f t="shared" ref="AL11:AQ11" si="9">+AL10/AL9*100</f>
        <v>19.257950530035338</v>
      </c>
      <c r="AM11" s="358">
        <f t="shared" si="9"/>
        <v>24.813278008298756</v>
      </c>
      <c r="AN11" s="358">
        <f t="shared" si="9"/>
        <v>23.52941176470588</v>
      </c>
      <c r="AO11" s="358">
        <f t="shared" si="9"/>
        <v>0</v>
      </c>
      <c r="AP11" s="358">
        <f t="shared" si="9"/>
        <v>4.5454545454545459</v>
      </c>
      <c r="AQ11" s="358">
        <f t="shared" si="9"/>
        <v>40.373563218390807</v>
      </c>
      <c r="AR11" s="115"/>
      <c r="AS11" s="115"/>
    </row>
    <row r="12" spans="1:45">
      <c r="A12" s="510" t="s">
        <v>11</v>
      </c>
      <c r="B12" s="510"/>
      <c r="C12" s="510"/>
      <c r="D12" s="510"/>
      <c r="E12" s="510"/>
      <c r="F12" s="510"/>
      <c r="G12" s="510"/>
      <c r="H12" s="510"/>
      <c r="I12" s="359"/>
      <c r="J12" s="510" t="s">
        <v>11</v>
      </c>
      <c r="K12" s="510"/>
      <c r="L12" s="510"/>
      <c r="M12" s="510"/>
      <c r="N12" s="510"/>
      <c r="O12" s="510"/>
      <c r="P12" s="510"/>
      <c r="Q12" s="510"/>
      <c r="R12" s="510" t="s">
        <v>11</v>
      </c>
      <c r="S12" s="510"/>
      <c r="T12" s="510"/>
      <c r="U12" s="510"/>
      <c r="V12" s="510"/>
      <c r="W12" s="510"/>
      <c r="X12" s="510"/>
      <c r="Y12" s="510"/>
      <c r="Z12" s="359"/>
      <c r="AA12" s="510" t="s">
        <v>11</v>
      </c>
      <c r="AB12" s="510"/>
      <c r="AC12" s="510"/>
      <c r="AD12" s="510"/>
      <c r="AE12" s="510"/>
      <c r="AF12" s="510"/>
      <c r="AG12" s="510"/>
      <c r="AH12" s="510"/>
      <c r="AI12" s="359"/>
      <c r="AJ12" s="510" t="s">
        <v>11</v>
      </c>
      <c r="AK12" s="510"/>
      <c r="AL12" s="510"/>
      <c r="AM12" s="510"/>
      <c r="AN12" s="510"/>
      <c r="AO12" s="510"/>
      <c r="AP12" s="510"/>
      <c r="AQ12" s="510"/>
      <c r="AR12" s="201"/>
      <c r="AS12" s="201"/>
    </row>
    <row r="13" spans="1:45">
      <c r="A13" s="360" t="s">
        <v>18</v>
      </c>
      <c r="B13" s="361">
        <f>+K13+S13+AK13</f>
        <v>180.2</v>
      </c>
      <c r="C13" s="361">
        <f>+L13+T13+AL13</f>
        <v>16275</v>
      </c>
      <c r="D13" s="360">
        <f>SUM(E13:H13)</f>
        <v>12241</v>
      </c>
      <c r="E13" s="361">
        <f t="shared" ref="E13:H14" si="10">+N13+V13+AN13</f>
        <v>4932</v>
      </c>
      <c r="F13" s="361">
        <f t="shared" si="10"/>
        <v>3822</v>
      </c>
      <c r="G13" s="361">
        <f t="shared" si="10"/>
        <v>383</v>
      </c>
      <c r="H13" s="361">
        <f t="shared" si="10"/>
        <v>3104</v>
      </c>
      <c r="I13" s="359"/>
      <c r="J13" s="360" t="s">
        <v>18</v>
      </c>
      <c r="K13" s="362">
        <f>[1]Rosica!K13+[1]Sevlievo!K13</f>
        <v>91.9</v>
      </c>
      <c r="L13" s="363">
        <f>[1]Rosica!L13+[1]Sevlievo!L13</f>
        <v>6639</v>
      </c>
      <c r="M13" s="363">
        <f>[1]Rosica!M13+[1]Sevlievo!M13</f>
        <v>5323</v>
      </c>
      <c r="N13" s="363">
        <f>[1]Rosica!N13+[1]Sevlievo!N13</f>
        <v>1223</v>
      </c>
      <c r="O13" s="363">
        <f>[1]Rosica!O13+[1]Sevlievo!O13</f>
        <v>2100</v>
      </c>
      <c r="P13" s="363">
        <f>[1]Rosica!P13+[1]Sevlievo!P13</f>
        <v>255</v>
      </c>
      <c r="Q13" s="363">
        <f>[1]Rosica!Q13+[1]Sevlievo!Q13</f>
        <v>1745</v>
      </c>
      <c r="R13" s="360" t="s">
        <v>18</v>
      </c>
      <c r="S13" s="362">
        <f>[1]Rosica!S13+[1]Sevlievo!S13</f>
        <v>68.199999999999989</v>
      </c>
      <c r="T13" s="363">
        <f>[1]Rosica!T13+[1]Sevlievo!T13</f>
        <v>8063</v>
      </c>
      <c r="U13" s="363">
        <f>[1]Rosica!U13+[1]Sevlievo!U13</f>
        <v>5816</v>
      </c>
      <c r="V13" s="363">
        <f>[1]Rosica!V13+[1]Sevlievo!V13</f>
        <v>3641</v>
      </c>
      <c r="W13" s="363">
        <f>[1]Rosica!W13+[1]Sevlievo!W13</f>
        <v>1333</v>
      </c>
      <c r="X13" s="363">
        <f>[1]Rosica!X13+[1]Sevlievo!X13</f>
        <v>86</v>
      </c>
      <c r="Y13" s="363">
        <f>[1]Rosica!Y13+[1]Sevlievo!Y13</f>
        <v>756</v>
      </c>
      <c r="Z13" s="359"/>
      <c r="AA13" s="360" t="s">
        <v>18</v>
      </c>
      <c r="AB13" s="362">
        <f>[1]Rosica!AB13+[1]Sevlievo!AB13</f>
        <v>68.199999999999989</v>
      </c>
      <c r="AC13" s="363">
        <f>[1]Rosica!AC13+[1]Sevlievo!AC13</f>
        <v>8063</v>
      </c>
      <c r="AD13" s="363">
        <f>[1]Rosica!AD13+[1]Sevlievo!AD13</f>
        <v>5816</v>
      </c>
      <c r="AE13" s="363">
        <f>[1]Rosica!AE13+[1]Sevlievo!AE13</f>
        <v>3641</v>
      </c>
      <c r="AF13" s="363">
        <f>[1]Rosica!AF13+[1]Sevlievo!AF13</f>
        <v>1333</v>
      </c>
      <c r="AG13" s="363">
        <f>[1]Rosica!AG13+[1]Sevlievo!AG13</f>
        <v>86</v>
      </c>
      <c r="AH13" s="363">
        <f>[1]Rosica!AH13+[1]Sevlievo!AH13</f>
        <v>756</v>
      </c>
      <c r="AI13" s="359"/>
      <c r="AJ13" s="360" t="s">
        <v>18</v>
      </c>
      <c r="AK13" s="362">
        <f>[1]Rosica!AK13+[1]Sevlievo!AK13</f>
        <v>20.100000000000001</v>
      </c>
      <c r="AL13" s="363">
        <f>[1]Rosica!AL13+[1]Sevlievo!AL13</f>
        <v>1573</v>
      </c>
      <c r="AM13" s="363">
        <f>[1]Rosica!AM13+[1]Sevlievo!AM13</f>
        <v>1102</v>
      </c>
      <c r="AN13" s="363">
        <f>[1]Rosica!AN13+[1]Sevlievo!AN13</f>
        <v>68</v>
      </c>
      <c r="AO13" s="363">
        <f>[1]Rosica!AO13+[1]Sevlievo!AO13</f>
        <v>389</v>
      </c>
      <c r="AP13" s="363">
        <f>[1]Rosica!AP13+[1]Sevlievo!AP13</f>
        <v>42</v>
      </c>
      <c r="AQ13" s="363">
        <f>[1]Rosica!AQ13+[1]Sevlievo!AQ13</f>
        <v>603</v>
      </c>
      <c r="AR13" s="201"/>
      <c r="AS13" s="201"/>
    </row>
    <row r="14" spans="1:45">
      <c r="A14" s="360" t="s">
        <v>19</v>
      </c>
      <c r="B14" s="361">
        <f>+K14+S14+AK14</f>
        <v>101.6</v>
      </c>
      <c r="C14" s="363">
        <f>+L14+T14+AL14</f>
        <v>11731</v>
      </c>
      <c r="D14" s="360">
        <f>SUM(E14:H14)</f>
        <v>9739</v>
      </c>
      <c r="E14" s="361">
        <f t="shared" si="10"/>
        <v>5187</v>
      </c>
      <c r="F14" s="361">
        <f t="shared" si="10"/>
        <v>1533</v>
      </c>
      <c r="G14" s="361">
        <f t="shared" si="10"/>
        <v>129</v>
      </c>
      <c r="H14" s="361">
        <f t="shared" si="10"/>
        <v>2890</v>
      </c>
      <c r="I14" s="359"/>
      <c r="J14" s="360" t="s">
        <v>19</v>
      </c>
      <c r="K14" s="362">
        <f>[1]Rosica!K14+[1]Sevlievo!K14</f>
        <v>63.5</v>
      </c>
      <c r="L14" s="363">
        <f>[1]Rosica!L14+[1]Sevlievo!L14</f>
        <v>7965</v>
      </c>
      <c r="M14" s="363">
        <f>SUM(N14:Q14)</f>
        <v>6573</v>
      </c>
      <c r="N14" s="363">
        <f>[1]Rosica!N14+[1]Sevlievo!N14</f>
        <v>2923</v>
      </c>
      <c r="O14" s="363">
        <f>[1]Rosica!O14+[1]Sevlievo!O14</f>
        <v>1264</v>
      </c>
      <c r="P14" s="363">
        <f>[1]Rosica!P14+[1]Sevlievo!P14</f>
        <v>129</v>
      </c>
      <c r="Q14" s="363">
        <f>[1]Rosica!Q14+[1]Sevlievo!Q14</f>
        <v>2257</v>
      </c>
      <c r="R14" s="360" t="s">
        <v>19</v>
      </c>
      <c r="S14" s="362">
        <f>[1]Rosica!S14+[1]Sevlievo!S14</f>
        <v>36.5</v>
      </c>
      <c r="T14" s="363">
        <f>[1]Rosica!T14+[1]Sevlievo!T14</f>
        <v>3649</v>
      </c>
      <c r="U14" s="363">
        <f>[1]Rosica!U14+[1]Sevlievo!U14</f>
        <v>3064</v>
      </c>
      <c r="V14" s="363">
        <f>[1]Rosica!V14+[1]Sevlievo!V14</f>
        <v>2252</v>
      </c>
      <c r="W14" s="363">
        <f>[1]Rosica!W14+[1]Sevlievo!W14</f>
        <v>269</v>
      </c>
      <c r="X14" s="363">
        <f>[1]Rosica!X14+[1]Sevlievo!X14</f>
        <v>0</v>
      </c>
      <c r="Y14" s="363">
        <f>[1]Rosica!Y14+[1]Sevlievo!Y14</f>
        <v>543</v>
      </c>
      <c r="Z14" s="359"/>
      <c r="AA14" s="360" t="s">
        <v>19</v>
      </c>
      <c r="AB14" s="362">
        <f>[1]Rosica!AB14+[1]Sevlievo!AB14</f>
        <v>36.5</v>
      </c>
      <c r="AC14" s="363">
        <f>[1]Rosica!AC14+[1]Sevlievo!AC14</f>
        <v>3649</v>
      </c>
      <c r="AD14" s="363">
        <f>[1]Rosica!AD14+[1]Sevlievo!AD14</f>
        <v>3064</v>
      </c>
      <c r="AE14" s="363">
        <f>[1]Rosica!AE14+[1]Sevlievo!AE14</f>
        <v>2252</v>
      </c>
      <c r="AF14" s="363">
        <f>[1]Rosica!AF14+[1]Sevlievo!AF14</f>
        <v>269</v>
      </c>
      <c r="AG14" s="363">
        <f>[1]Rosica!AG14+[1]Sevlievo!AG14</f>
        <v>0</v>
      </c>
      <c r="AH14" s="363">
        <f>[1]Rosica!AH14+[1]Sevlievo!AH14</f>
        <v>543</v>
      </c>
      <c r="AI14" s="359"/>
      <c r="AJ14" s="360" t="s">
        <v>19</v>
      </c>
      <c r="AK14" s="362">
        <f>[1]Rosica!AK14+[1]Sevlievo!AK14</f>
        <v>1.6</v>
      </c>
      <c r="AL14" s="363">
        <f>[1]Rosica!AL14+[1]Sevlievo!AL14</f>
        <v>117</v>
      </c>
      <c r="AM14" s="363">
        <f>[1]Rosica!AM14+[1]Sevlievo!AM14</f>
        <v>102</v>
      </c>
      <c r="AN14" s="363">
        <f>[1]Rosica!AN14+[1]Sevlievo!AN14</f>
        <v>12</v>
      </c>
      <c r="AO14" s="363">
        <f>[1]Rosica!AO14+[1]Sevlievo!AO14</f>
        <v>0</v>
      </c>
      <c r="AP14" s="363">
        <f>[1]Rosica!AP14+[1]Sevlievo!AP14</f>
        <v>0</v>
      </c>
      <c r="AQ14" s="363">
        <f>[1]Rosica!AQ14+[1]Sevlievo!AQ14</f>
        <v>90</v>
      </c>
      <c r="AR14" s="201"/>
      <c r="AS14" s="201"/>
    </row>
    <row r="15" spans="1:45">
      <c r="A15" s="360" t="s">
        <v>20</v>
      </c>
      <c r="B15" s="363">
        <f t="shared" ref="B15:H15" si="11">+B14/B13*100</f>
        <v>56.381798002219753</v>
      </c>
      <c r="C15" s="363">
        <f t="shared" si="11"/>
        <v>72.079877112135165</v>
      </c>
      <c r="D15" s="363">
        <f t="shared" si="11"/>
        <v>79.560493423739885</v>
      </c>
      <c r="E15" s="363">
        <f t="shared" si="11"/>
        <v>105.17031630170317</v>
      </c>
      <c r="F15" s="363">
        <f t="shared" si="11"/>
        <v>40.109890109890109</v>
      </c>
      <c r="G15" s="363">
        <f t="shared" si="11"/>
        <v>33.681462140992167</v>
      </c>
      <c r="H15" s="363">
        <f t="shared" si="11"/>
        <v>93.105670103092791</v>
      </c>
      <c r="I15" s="359"/>
      <c r="J15" s="360" t="s">
        <v>20</v>
      </c>
      <c r="K15" s="363">
        <f>+K14/K13*100</f>
        <v>69.096844396082687</v>
      </c>
      <c r="L15" s="363">
        <f t="shared" ref="L15:Q15" si="12">+L14/L13*100</f>
        <v>119.97288748305468</v>
      </c>
      <c r="M15" s="363">
        <f t="shared" si="12"/>
        <v>123.48299830922412</v>
      </c>
      <c r="N15" s="363">
        <f t="shared" si="12"/>
        <v>239.00245298446444</v>
      </c>
      <c r="O15" s="363">
        <f t="shared" si="12"/>
        <v>60.190476190476197</v>
      </c>
      <c r="P15" s="363">
        <f t="shared" si="12"/>
        <v>50.588235294117645</v>
      </c>
      <c r="Q15" s="363">
        <f t="shared" si="12"/>
        <v>129.34097421203438</v>
      </c>
      <c r="R15" s="360" t="s">
        <v>20</v>
      </c>
      <c r="S15" s="363">
        <f t="shared" ref="S15:Y15" si="13">+S14/S13*100</f>
        <v>53.519061583577724</v>
      </c>
      <c r="T15" s="363">
        <f t="shared" si="13"/>
        <v>45.256108148331883</v>
      </c>
      <c r="U15" s="363">
        <f t="shared" si="13"/>
        <v>52.68225584594223</v>
      </c>
      <c r="V15" s="363">
        <f t="shared" si="13"/>
        <v>61.851139796759135</v>
      </c>
      <c r="W15" s="363">
        <f t="shared" si="13"/>
        <v>20.180045011252815</v>
      </c>
      <c r="X15" s="363">
        <f t="shared" si="13"/>
        <v>0</v>
      </c>
      <c r="Y15" s="363">
        <f t="shared" si="13"/>
        <v>71.825396825396822</v>
      </c>
      <c r="Z15" s="359"/>
      <c r="AA15" s="360" t="s">
        <v>20</v>
      </c>
      <c r="AB15" s="363">
        <f t="shared" ref="AB15:AH15" si="14">+AB14/AB13*100</f>
        <v>53.519061583577724</v>
      </c>
      <c r="AC15" s="363">
        <f t="shared" si="14"/>
        <v>45.256108148331883</v>
      </c>
      <c r="AD15" s="363">
        <f t="shared" si="14"/>
        <v>52.68225584594223</v>
      </c>
      <c r="AE15" s="363">
        <f t="shared" si="14"/>
        <v>61.851139796759135</v>
      </c>
      <c r="AF15" s="363">
        <f t="shared" si="14"/>
        <v>20.180045011252815</v>
      </c>
      <c r="AG15" s="363">
        <f t="shared" si="14"/>
        <v>0</v>
      </c>
      <c r="AH15" s="363">
        <f t="shared" si="14"/>
        <v>71.825396825396822</v>
      </c>
      <c r="AI15" s="359"/>
      <c r="AJ15" s="360" t="s">
        <v>20</v>
      </c>
      <c r="AK15" s="363">
        <f t="shared" ref="AK15:AQ15" si="15">+AK14/AK13*100</f>
        <v>7.9601990049751246</v>
      </c>
      <c r="AL15" s="363">
        <f t="shared" si="15"/>
        <v>7.4380165289256199</v>
      </c>
      <c r="AM15" s="363">
        <f t="shared" si="15"/>
        <v>9.2558983666061696</v>
      </c>
      <c r="AN15" s="363">
        <f t="shared" si="15"/>
        <v>17.647058823529413</v>
      </c>
      <c r="AO15" s="363">
        <f t="shared" si="15"/>
        <v>0</v>
      </c>
      <c r="AP15" s="363">
        <f t="shared" si="15"/>
        <v>0</v>
      </c>
      <c r="AQ15" s="363">
        <f t="shared" si="15"/>
        <v>14.925373134328357</v>
      </c>
      <c r="AR15" s="201"/>
      <c r="AS15" s="201"/>
    </row>
    <row r="16" spans="1:45">
      <c r="A16" s="361" t="s">
        <v>13</v>
      </c>
      <c r="B16" s="361">
        <f t="shared" ref="B16:C18" si="16">+K16+S16+AK16</f>
        <v>47.6</v>
      </c>
      <c r="C16" s="361">
        <f t="shared" si="16"/>
        <v>6198</v>
      </c>
      <c r="D16" s="360">
        <f>SUM(E16:H16)</f>
        <v>5249</v>
      </c>
      <c r="E16" s="361">
        <f t="shared" ref="E16:H18" si="17">+N16+V16+AN16</f>
        <v>2863</v>
      </c>
      <c r="F16" s="361">
        <f t="shared" si="17"/>
        <v>991</v>
      </c>
      <c r="G16" s="361">
        <f t="shared" si="17"/>
        <v>6</v>
      </c>
      <c r="H16" s="361">
        <f t="shared" si="17"/>
        <v>1389</v>
      </c>
      <c r="I16" s="359"/>
      <c r="J16" s="361" t="s">
        <v>13</v>
      </c>
      <c r="K16" s="362">
        <f>[1]Rosica!K16+[1]Sevlievo!K16</f>
        <v>39.900000000000006</v>
      </c>
      <c r="L16" s="363">
        <f>[1]Rosica!L16+[1]Sevlievo!L16</f>
        <v>4469</v>
      </c>
      <c r="M16" s="363">
        <f>[1]Rosica!M16+[1]Sevlievo!M16</f>
        <v>3741</v>
      </c>
      <c r="N16" s="363">
        <f>[1]Rosica!N16+[1]Sevlievo!N16</f>
        <v>1821</v>
      </c>
      <c r="O16" s="363">
        <f>[1]Rosica!O16+[1]Sevlievo!O16</f>
        <v>868</v>
      </c>
      <c r="P16" s="363">
        <f>[1]Rosica!P16+[1]Sevlievo!P16</f>
        <v>6</v>
      </c>
      <c r="Q16" s="363">
        <f>[1]Rosica!Q16+[1]Sevlievo!Q16</f>
        <v>1046</v>
      </c>
      <c r="R16" s="361" t="s">
        <v>13</v>
      </c>
      <c r="S16" s="362">
        <f>[1]Rosica!S16+[1]Sevlievo!S16</f>
        <v>6.8999999999999995</v>
      </c>
      <c r="T16" s="363">
        <f>[1]Rosica!T16+[1]Sevlievo!T16</f>
        <v>1663</v>
      </c>
      <c r="U16" s="363">
        <f>[1]Rosica!U16+[1]Sevlievo!U16</f>
        <v>1449</v>
      </c>
      <c r="V16" s="363">
        <f>[1]Rosica!V16+[1]Sevlievo!V16</f>
        <v>1036</v>
      </c>
      <c r="W16" s="363">
        <f>[1]Rosica!W16+[1]Sevlievo!W16</f>
        <v>123</v>
      </c>
      <c r="X16" s="363">
        <f>[1]Rosica!X16+[1]Sevlievo!X16</f>
        <v>0</v>
      </c>
      <c r="Y16" s="363">
        <f>[1]Rosica!Y16+[1]Sevlievo!Y16</f>
        <v>290</v>
      </c>
      <c r="Z16" s="359"/>
      <c r="AA16" s="361" t="s">
        <v>13</v>
      </c>
      <c r="AB16" s="362">
        <f>[1]Rosica!AB16+[1]Sevlievo!AB16</f>
        <v>6.8999999999999995</v>
      </c>
      <c r="AC16" s="363">
        <f>[1]Rosica!AC16+[1]Sevlievo!AC16</f>
        <v>1663</v>
      </c>
      <c r="AD16" s="363">
        <f>[1]Rosica!AD16+[1]Sevlievo!AD16</f>
        <v>1449</v>
      </c>
      <c r="AE16" s="363">
        <f>[1]Rosica!AE16+[1]Sevlievo!AE16</f>
        <v>1036</v>
      </c>
      <c r="AF16" s="363">
        <f>[1]Rosica!AF16+[1]Sevlievo!AF16</f>
        <v>123</v>
      </c>
      <c r="AG16" s="363">
        <f>[1]Rosica!AG16+[1]Sevlievo!AG16</f>
        <v>0</v>
      </c>
      <c r="AH16" s="363">
        <f>[1]Rosica!AH16+[1]Sevlievo!AH16</f>
        <v>290</v>
      </c>
      <c r="AI16" s="359"/>
      <c r="AJ16" s="361" t="s">
        <v>13</v>
      </c>
      <c r="AK16" s="362">
        <f>[1]Rosica!AK16+[1]Sevlievo!AK16</f>
        <v>0.8</v>
      </c>
      <c r="AL16" s="363">
        <f>[1]Rosica!AL16+[1]Sevlievo!AL16</f>
        <v>66</v>
      </c>
      <c r="AM16" s="363">
        <f>[1]Rosica!AM16+[1]Sevlievo!AM16</f>
        <v>59</v>
      </c>
      <c r="AN16" s="363">
        <f>[1]Rosica!AN16+[1]Sevlievo!AN16</f>
        <v>6</v>
      </c>
      <c r="AO16" s="363">
        <f>[1]Rosica!AO16+[1]Sevlievo!AO16</f>
        <v>0</v>
      </c>
      <c r="AP16" s="363">
        <f>[1]Rosica!AP16+[1]Sevlievo!AP16</f>
        <v>0</v>
      </c>
      <c r="AQ16" s="363">
        <f>[1]Rosica!AQ16+[1]Sevlievo!AQ16</f>
        <v>53</v>
      </c>
      <c r="AR16" s="201"/>
      <c r="AS16" s="201"/>
    </row>
    <row r="17" spans="1:45">
      <c r="A17" s="361" t="s">
        <v>14</v>
      </c>
      <c r="B17" s="361">
        <f t="shared" si="16"/>
        <v>12.8</v>
      </c>
      <c r="C17" s="361">
        <f t="shared" si="16"/>
        <v>2453</v>
      </c>
      <c r="D17" s="360">
        <f>SUM(E17:H17)</f>
        <v>1995</v>
      </c>
      <c r="E17" s="361">
        <f t="shared" si="17"/>
        <v>839</v>
      </c>
      <c r="F17" s="361">
        <f t="shared" si="17"/>
        <v>280</v>
      </c>
      <c r="G17" s="361">
        <f t="shared" si="17"/>
        <v>118</v>
      </c>
      <c r="H17" s="361">
        <f t="shared" si="17"/>
        <v>758</v>
      </c>
      <c r="I17" s="359"/>
      <c r="J17" s="361" t="s">
        <v>14</v>
      </c>
      <c r="K17" s="362">
        <f>[1]Rosica!K17+[1]Sevlievo!K17</f>
        <v>12.8</v>
      </c>
      <c r="L17" s="363">
        <f>[1]Rosica!L17+[1]Sevlievo!L17</f>
        <v>2417</v>
      </c>
      <c r="M17" s="363">
        <f>[1]Rosica!M17+[1]Sevlievo!M17</f>
        <v>1964</v>
      </c>
      <c r="N17" s="363">
        <f>[1]Rosica!N17+[1]Sevlievo!N17</f>
        <v>839</v>
      </c>
      <c r="O17" s="363">
        <f>[1]Rosica!O17+[1]Sevlievo!O17</f>
        <v>280</v>
      </c>
      <c r="P17" s="363">
        <f>[1]Rosica!P17+[1]Sevlievo!P17</f>
        <v>118</v>
      </c>
      <c r="Q17" s="363">
        <f>[1]Rosica!Q17+[1]Sevlievo!Q17</f>
        <v>727</v>
      </c>
      <c r="R17" s="361" t="s">
        <v>14</v>
      </c>
      <c r="S17" s="362">
        <f>[1]Rosica!S17+[1]Sevlievo!S17</f>
        <v>0</v>
      </c>
      <c r="T17" s="363">
        <f>[1]Rosica!T17+[1]Sevlievo!T17</f>
        <v>0</v>
      </c>
      <c r="U17" s="363">
        <f>[1]Rosica!U17+[1]Sevlievo!U17</f>
        <v>0</v>
      </c>
      <c r="V17" s="363">
        <f>[1]Rosica!V17+[1]Sevlievo!V17</f>
        <v>0</v>
      </c>
      <c r="W17" s="363">
        <f>[1]Rosica!W17+[1]Sevlievo!W17</f>
        <v>0</v>
      </c>
      <c r="X17" s="363">
        <f>[1]Rosica!X17+[1]Sevlievo!X17</f>
        <v>0</v>
      </c>
      <c r="Y17" s="363">
        <f>[1]Rosica!Y17+[1]Sevlievo!Y17</f>
        <v>0</v>
      </c>
      <c r="Z17" s="359"/>
      <c r="AA17" s="361" t="s">
        <v>14</v>
      </c>
      <c r="AB17" s="362">
        <f>[1]Rosica!AB17+[1]Sevlievo!AB17</f>
        <v>0</v>
      </c>
      <c r="AC17" s="363">
        <f>[1]Rosica!AC17+[1]Sevlievo!AC17</f>
        <v>0</v>
      </c>
      <c r="AD17" s="363">
        <f>[1]Rosica!AD17+[1]Sevlievo!AD17</f>
        <v>0</v>
      </c>
      <c r="AE17" s="363">
        <f>[1]Rosica!AE17+[1]Sevlievo!AE17</f>
        <v>0</v>
      </c>
      <c r="AF17" s="363">
        <f>[1]Rosica!AF17+[1]Sevlievo!AF17</f>
        <v>0</v>
      </c>
      <c r="AG17" s="363">
        <f>[1]Rosica!AG17+[1]Sevlievo!AG17</f>
        <v>0</v>
      </c>
      <c r="AH17" s="363">
        <f>[1]Rosica!AH17+[1]Sevlievo!AH17</f>
        <v>0</v>
      </c>
      <c r="AI17" s="359"/>
      <c r="AJ17" s="361" t="s">
        <v>14</v>
      </c>
      <c r="AK17" s="362">
        <f>[1]Rosica!AK17+[1]Sevlievo!AK17</f>
        <v>0</v>
      </c>
      <c r="AL17" s="363">
        <f>[1]Rosica!AL17+[1]Sevlievo!AL17</f>
        <v>36</v>
      </c>
      <c r="AM17" s="363">
        <f>[1]Rosica!AM17+[1]Sevlievo!AM17</f>
        <v>31</v>
      </c>
      <c r="AN17" s="363">
        <f>[1]Rosica!AN17+[1]Sevlievo!AN17</f>
        <v>0</v>
      </c>
      <c r="AO17" s="363">
        <f>[1]Rosica!AO17+[1]Sevlievo!AO17</f>
        <v>0</v>
      </c>
      <c r="AP17" s="363">
        <f>[1]Rosica!AP17+[1]Sevlievo!AP17</f>
        <v>0</v>
      </c>
      <c r="AQ17" s="363">
        <f>[1]Rosica!AQ17+[1]Sevlievo!AQ17</f>
        <v>31</v>
      </c>
      <c r="AR17" s="201"/>
      <c r="AS17" s="201"/>
    </row>
    <row r="18" spans="1:45">
      <c r="A18" s="361" t="s">
        <v>15</v>
      </c>
      <c r="B18" s="361">
        <f t="shared" si="16"/>
        <v>0</v>
      </c>
      <c r="C18" s="361">
        <f t="shared" si="16"/>
        <v>7</v>
      </c>
      <c r="D18" s="360">
        <f>SUM(E18:H18)</f>
        <v>6</v>
      </c>
      <c r="E18" s="361">
        <f t="shared" si="17"/>
        <v>6</v>
      </c>
      <c r="F18" s="361">
        <f t="shared" si="17"/>
        <v>0</v>
      </c>
      <c r="G18" s="361">
        <f t="shared" si="17"/>
        <v>0</v>
      </c>
      <c r="H18" s="361">
        <f t="shared" si="17"/>
        <v>0</v>
      </c>
      <c r="I18" s="359"/>
      <c r="J18" s="361" t="s">
        <v>15</v>
      </c>
      <c r="K18" s="362">
        <f>[1]Rosica!K18+[1]Sevlievo!K18</f>
        <v>0</v>
      </c>
      <c r="L18" s="363">
        <f>[1]Rosica!L18+[1]Sevlievo!L18</f>
        <v>0</v>
      </c>
      <c r="M18" s="363">
        <f>[1]Rosica!M18+[1]Sevlievo!M18</f>
        <v>0</v>
      </c>
      <c r="N18" s="363">
        <f>[1]Rosica!N18+[1]Sevlievo!N18</f>
        <v>0</v>
      </c>
      <c r="O18" s="363">
        <f>[1]Rosica!O18+[1]Sevlievo!O18</f>
        <v>0</v>
      </c>
      <c r="P18" s="363">
        <f>[1]Rosica!P18+[1]Sevlievo!P18</f>
        <v>0</v>
      </c>
      <c r="Q18" s="363">
        <f>[1]Rosica!Q18+[1]Sevlievo!Q18</f>
        <v>0</v>
      </c>
      <c r="R18" s="361" t="s">
        <v>15</v>
      </c>
      <c r="S18" s="362">
        <f>[1]Rosica!S18+[1]Sevlievo!S18</f>
        <v>0</v>
      </c>
      <c r="T18" s="363">
        <f>[1]Rosica!T18+[1]Sevlievo!T18</f>
        <v>0</v>
      </c>
      <c r="U18" s="363">
        <f>[1]Rosica!U18+[1]Sevlievo!U18</f>
        <v>0</v>
      </c>
      <c r="V18" s="363">
        <f>[1]Rosica!V18+[1]Sevlievo!V18</f>
        <v>0</v>
      </c>
      <c r="W18" s="363">
        <f>[1]Rosica!W18+[1]Sevlievo!W18</f>
        <v>0</v>
      </c>
      <c r="X18" s="363">
        <f>[1]Rosica!X18+[1]Sevlievo!X18</f>
        <v>0</v>
      </c>
      <c r="Y18" s="363">
        <f>[1]Rosica!Y18+[1]Sevlievo!Y18</f>
        <v>0</v>
      </c>
      <c r="Z18" s="359"/>
      <c r="AA18" s="361" t="s">
        <v>15</v>
      </c>
      <c r="AB18" s="362">
        <f>[1]Rosica!AB18+[1]Sevlievo!AB18</f>
        <v>0</v>
      </c>
      <c r="AC18" s="363">
        <f>[1]Rosica!AC18+[1]Sevlievo!AC18</f>
        <v>0</v>
      </c>
      <c r="AD18" s="363">
        <f>[1]Rosica!AD18+[1]Sevlievo!AD18</f>
        <v>0</v>
      </c>
      <c r="AE18" s="363">
        <f>[1]Rosica!AE18+[1]Sevlievo!AE18</f>
        <v>0</v>
      </c>
      <c r="AF18" s="363">
        <f>[1]Rosica!AF18+[1]Sevlievo!AF18</f>
        <v>0</v>
      </c>
      <c r="AG18" s="363">
        <f>[1]Rosica!AG18+[1]Sevlievo!AG18</f>
        <v>0</v>
      </c>
      <c r="AH18" s="363">
        <f>[1]Rosica!AH18+[1]Sevlievo!AH18</f>
        <v>0</v>
      </c>
      <c r="AI18" s="359"/>
      <c r="AJ18" s="361" t="s">
        <v>15</v>
      </c>
      <c r="AK18" s="362">
        <f>[1]Rosica!AK18+[1]Sevlievo!AK18</f>
        <v>0</v>
      </c>
      <c r="AL18" s="363">
        <f>[1]Rosica!AL18+[1]Sevlievo!AL18</f>
        <v>7</v>
      </c>
      <c r="AM18" s="363">
        <f>[1]Rosica!AM18+[1]Sevlievo!AM18</f>
        <v>6</v>
      </c>
      <c r="AN18" s="363">
        <f>[1]Rosica!AN18+[1]Sevlievo!AN18</f>
        <v>6</v>
      </c>
      <c r="AO18" s="363">
        <f>[1]Rosica!AO18+[1]Sevlievo!AO18</f>
        <v>0</v>
      </c>
      <c r="AP18" s="363">
        <f>[1]Rosica!AP18+[1]Sevlievo!AP18</f>
        <v>0</v>
      </c>
      <c r="AQ18" s="363">
        <f>[1]Rosica!AQ18+[1]Sevlievo!AQ18</f>
        <v>0</v>
      </c>
    </row>
    <row r="19" spans="1:45">
      <c r="A19" s="510" t="s">
        <v>16</v>
      </c>
      <c r="B19" s="510"/>
      <c r="C19" s="510"/>
      <c r="D19" s="510"/>
      <c r="E19" s="510"/>
      <c r="F19" s="510"/>
      <c r="G19" s="510"/>
      <c r="H19" s="510"/>
      <c r="I19" s="359"/>
      <c r="J19" s="510" t="s">
        <v>16</v>
      </c>
      <c r="K19" s="510"/>
      <c r="L19" s="510"/>
      <c r="M19" s="510"/>
      <c r="N19" s="510"/>
      <c r="O19" s="510"/>
      <c r="P19" s="510"/>
      <c r="Q19" s="510"/>
      <c r="R19" s="510" t="s">
        <v>16</v>
      </c>
      <c r="S19" s="510"/>
      <c r="T19" s="510"/>
      <c r="U19" s="510"/>
      <c r="V19" s="510"/>
      <c r="W19" s="510"/>
      <c r="X19" s="510"/>
      <c r="Y19" s="510"/>
      <c r="Z19" s="359"/>
      <c r="AA19" s="510" t="s">
        <v>16</v>
      </c>
      <c r="AB19" s="510"/>
      <c r="AC19" s="510"/>
      <c r="AD19" s="510"/>
      <c r="AE19" s="510"/>
      <c r="AF19" s="510"/>
      <c r="AG19" s="510"/>
      <c r="AH19" s="510"/>
      <c r="AI19" s="359"/>
      <c r="AJ19" s="510" t="s">
        <v>16</v>
      </c>
      <c r="AK19" s="510"/>
      <c r="AL19" s="510"/>
      <c r="AM19" s="510"/>
      <c r="AN19" s="510"/>
      <c r="AO19" s="510"/>
      <c r="AP19" s="510"/>
      <c r="AQ19" s="510"/>
    </row>
    <row r="20" spans="1:45">
      <c r="A20" s="360" t="s">
        <v>18</v>
      </c>
      <c r="B20" s="361">
        <f>+B23+B26+B29+B32+B35+B38</f>
        <v>979</v>
      </c>
      <c r="C20" s="361">
        <f>+C23+C26+C29+C32+C35+C38</f>
        <v>50817</v>
      </c>
      <c r="D20" s="360">
        <f>SUM(E20:H20)</f>
        <v>43212</v>
      </c>
      <c r="E20" s="361">
        <f>+E23+E26+E29+E32+E35+E38</f>
        <v>7561</v>
      </c>
      <c r="F20" s="361">
        <f>+F23+F26+F29+F32+F35+F38</f>
        <v>6680</v>
      </c>
      <c r="G20" s="361">
        <f>+G23+G26+G29+G32+G35+G38</f>
        <v>1319</v>
      </c>
      <c r="H20" s="361">
        <f>+H23+H26+H29+H32+H35+H38</f>
        <v>27652</v>
      </c>
      <c r="I20" s="359"/>
      <c r="J20" s="360" t="s">
        <v>18</v>
      </c>
      <c r="K20" s="362">
        <f>+K23+K26+K29+K32+K35+K38</f>
        <v>446.7</v>
      </c>
      <c r="L20" s="363">
        <f>+L23+L26+L29+L32+L35+L38</f>
        <v>19631</v>
      </c>
      <c r="M20" s="360">
        <f>SUM(N20:Q20)</f>
        <v>16372</v>
      </c>
      <c r="N20" s="361">
        <f t="shared" ref="N20:Q21" si="18">+N23+N26+N29+N32+N35+N38</f>
        <v>885</v>
      </c>
      <c r="O20" s="361">
        <f t="shared" si="18"/>
        <v>3312</v>
      </c>
      <c r="P20" s="361">
        <f t="shared" si="18"/>
        <v>610</v>
      </c>
      <c r="Q20" s="361">
        <f t="shared" si="18"/>
        <v>11565</v>
      </c>
      <c r="R20" s="360" t="s">
        <v>18</v>
      </c>
      <c r="S20" s="361">
        <f>+S23+S26+S29+S32+S35+S38</f>
        <v>525.1</v>
      </c>
      <c r="T20" s="361">
        <f>+T23+T26+T29+T32+T35+T38</f>
        <v>31061</v>
      </c>
      <c r="U20" s="360">
        <f>SUM(V20:Y20)</f>
        <v>26737</v>
      </c>
      <c r="V20" s="361">
        <f t="shared" ref="V20:Y21" si="19">+V23+V26+V29+V32+V35+V38</f>
        <v>6676</v>
      </c>
      <c r="W20" s="361">
        <f t="shared" si="19"/>
        <v>3360</v>
      </c>
      <c r="X20" s="361">
        <f t="shared" si="19"/>
        <v>707</v>
      </c>
      <c r="Y20" s="361">
        <f t="shared" si="19"/>
        <v>15994</v>
      </c>
      <c r="Z20" s="359"/>
      <c r="AA20" s="360" t="s">
        <v>18</v>
      </c>
      <c r="AB20" s="361">
        <f>+AB23+AB26+AB29+AB32+AB35+AB38</f>
        <v>215.5</v>
      </c>
      <c r="AC20" s="361">
        <f>+AC23+AC26+AC29+AC32+AC35+AC38</f>
        <v>17896</v>
      </c>
      <c r="AD20" s="360">
        <f>SUM(AE20:AH20)</f>
        <v>15042</v>
      </c>
      <c r="AE20" s="361">
        <f>+AE23+AE26+AE29+AE32+AE35+AE38</f>
        <v>6350</v>
      </c>
      <c r="AF20" s="361">
        <f>+AF23+AF26+AF29+AF32+AF35+AF38</f>
        <v>930</v>
      </c>
      <c r="AG20" s="361">
        <f>+AG23+AG26+AG29+AG32+AG35+AG38</f>
        <v>181</v>
      </c>
      <c r="AH20" s="361">
        <f>+AH23+AH26+AH29+AH32+AH35+AH38</f>
        <v>7581</v>
      </c>
      <c r="AI20" s="359"/>
      <c r="AJ20" s="360" t="s">
        <v>18</v>
      </c>
      <c r="AK20" s="361">
        <f>+AK23+AK26+AK29+AK32+AK35+AK38</f>
        <v>7.1999999999999993</v>
      </c>
      <c r="AL20" s="361">
        <f>+AL23+AL26+AL29+AL32+AL35+AL38</f>
        <v>125</v>
      </c>
      <c r="AM20" s="360">
        <f>SUM(AN20:AQ20)</f>
        <v>103</v>
      </c>
      <c r="AN20" s="361">
        <f>+AN23+AN26+AN29+AN32+AN35+AN38</f>
        <v>0</v>
      </c>
      <c r="AO20" s="361">
        <f>+AO23+AO26+AO29+AO32+AO35+AO38</f>
        <v>8</v>
      </c>
      <c r="AP20" s="361">
        <f>+AP23+AP26+AP29+AP32+AP35+AP38</f>
        <v>2</v>
      </c>
      <c r="AQ20" s="361">
        <f>+AQ23+AQ26+AQ29+AQ32+AQ35+AQ38</f>
        <v>93</v>
      </c>
    </row>
    <row r="21" spans="1:45">
      <c r="A21" s="360" t="s">
        <v>19</v>
      </c>
      <c r="B21" s="361">
        <f>+B24+B27+B30+B33+B36+B39</f>
        <v>639.27199999999993</v>
      </c>
      <c r="C21" s="361">
        <f t="shared" ref="C21:H21" si="20">+C24+C27+C30+C33+C36+C39</f>
        <v>36624</v>
      </c>
      <c r="D21" s="360">
        <f>SUM(E21:H21)</f>
        <v>31841</v>
      </c>
      <c r="E21" s="361">
        <f t="shared" si="20"/>
        <v>4463</v>
      </c>
      <c r="F21" s="361">
        <f t="shared" si="20"/>
        <v>1268</v>
      </c>
      <c r="G21" s="361">
        <f t="shared" si="20"/>
        <v>301</v>
      </c>
      <c r="H21" s="361">
        <f t="shared" si="20"/>
        <v>25809</v>
      </c>
      <c r="I21" s="359"/>
      <c r="J21" s="360" t="s">
        <v>19</v>
      </c>
      <c r="K21" s="361">
        <f>+K24+K27+K30+K33+K36+K39</f>
        <v>277</v>
      </c>
      <c r="L21" s="361">
        <f>+L24+L27+L30+L33+L36+L39</f>
        <v>13365</v>
      </c>
      <c r="M21" s="360">
        <f>SUM(N21:Q21)</f>
        <v>11556</v>
      </c>
      <c r="N21" s="361">
        <f t="shared" si="18"/>
        <v>844</v>
      </c>
      <c r="O21" s="361">
        <f t="shared" si="18"/>
        <v>547</v>
      </c>
      <c r="P21" s="361">
        <f t="shared" si="18"/>
        <v>90</v>
      </c>
      <c r="Q21" s="361">
        <f t="shared" si="18"/>
        <v>10075</v>
      </c>
      <c r="R21" s="360" t="s">
        <v>19</v>
      </c>
      <c r="S21" s="361">
        <f>+S24+S27+S30+S33+S36+S39</f>
        <v>361.8</v>
      </c>
      <c r="T21" s="361">
        <f>+T24+T27+T30+T33+T36+T39</f>
        <v>23049</v>
      </c>
      <c r="U21" s="360">
        <f>SUM(V21:Y21)</f>
        <v>20088</v>
      </c>
      <c r="V21" s="361">
        <f t="shared" si="19"/>
        <v>3615</v>
      </c>
      <c r="W21" s="361">
        <f t="shared" si="19"/>
        <v>721</v>
      </c>
      <c r="X21" s="361">
        <f t="shared" si="19"/>
        <v>209</v>
      </c>
      <c r="Y21" s="361">
        <f t="shared" si="19"/>
        <v>15543</v>
      </c>
      <c r="Z21" s="359"/>
      <c r="AA21" s="360" t="s">
        <v>19</v>
      </c>
      <c r="AB21" s="361">
        <f t="shared" ref="AB21:AH21" si="21">+AB24+AB27+AB30+AB33+AB36+AB39</f>
        <v>114.99999999999999</v>
      </c>
      <c r="AC21" s="361">
        <f t="shared" si="21"/>
        <v>11351</v>
      </c>
      <c r="AD21" s="360">
        <f>SUM(AE21:AH21)</f>
        <v>9861</v>
      </c>
      <c r="AE21" s="361">
        <f t="shared" si="21"/>
        <v>3541</v>
      </c>
      <c r="AF21" s="361">
        <f t="shared" si="21"/>
        <v>420</v>
      </c>
      <c r="AG21" s="361">
        <f t="shared" si="21"/>
        <v>153</v>
      </c>
      <c r="AH21" s="361">
        <f t="shared" si="21"/>
        <v>5747</v>
      </c>
      <c r="AI21" s="359"/>
      <c r="AJ21" s="360" t="s">
        <v>19</v>
      </c>
      <c r="AK21" s="361">
        <f>+AK24+AK27+AK30+AK33+AK36+AK39</f>
        <v>0.47199999999999998</v>
      </c>
      <c r="AL21" s="361">
        <f t="shared" ref="AL21:AQ21" si="22">+AL24+AL27+AL30+AL33+AL36+AL39</f>
        <v>210</v>
      </c>
      <c r="AM21" s="360">
        <f>SUM(AN21:AQ21)</f>
        <v>197</v>
      </c>
      <c r="AN21" s="361">
        <f t="shared" si="22"/>
        <v>4</v>
      </c>
      <c r="AO21" s="361">
        <f t="shared" si="22"/>
        <v>0</v>
      </c>
      <c r="AP21" s="361">
        <f t="shared" si="22"/>
        <v>2</v>
      </c>
      <c r="AQ21" s="361">
        <f t="shared" si="22"/>
        <v>191</v>
      </c>
      <c r="AR21" s="201"/>
      <c r="AS21" s="201"/>
    </row>
    <row r="22" spans="1:45">
      <c r="A22" s="360" t="s">
        <v>20</v>
      </c>
      <c r="B22" s="363">
        <f t="shared" ref="B22:H22" si="23">+B21/B20*100</f>
        <v>65.298467824310507</v>
      </c>
      <c r="C22" s="363">
        <f t="shared" si="23"/>
        <v>72.07037015172088</v>
      </c>
      <c r="D22" s="363">
        <f t="shared" si="23"/>
        <v>73.685550310099046</v>
      </c>
      <c r="E22" s="363">
        <f t="shared" si="23"/>
        <v>59.026583785213596</v>
      </c>
      <c r="F22" s="363">
        <f t="shared" si="23"/>
        <v>18.982035928143713</v>
      </c>
      <c r="G22" s="363">
        <f t="shared" si="23"/>
        <v>22.820318423047762</v>
      </c>
      <c r="H22" s="363">
        <f t="shared" si="23"/>
        <v>93.335020974974682</v>
      </c>
      <c r="I22" s="359"/>
      <c r="J22" s="360" t="s">
        <v>20</v>
      </c>
      <c r="K22" s="363">
        <f t="shared" ref="K22:Q22" si="24">+K21/K20*100</f>
        <v>62.010297738974707</v>
      </c>
      <c r="L22" s="363">
        <f t="shared" si="24"/>
        <v>68.081096225357854</v>
      </c>
      <c r="M22" s="363">
        <f t="shared" si="24"/>
        <v>70.58392377229417</v>
      </c>
      <c r="N22" s="363">
        <f t="shared" si="24"/>
        <v>95.367231638418076</v>
      </c>
      <c r="O22" s="363">
        <f t="shared" si="24"/>
        <v>16.515700483091788</v>
      </c>
      <c r="P22" s="363">
        <f t="shared" si="24"/>
        <v>14.754098360655737</v>
      </c>
      <c r="Q22" s="363">
        <f t="shared" si="24"/>
        <v>87.116299178555991</v>
      </c>
      <c r="R22" s="360" t="s">
        <v>20</v>
      </c>
      <c r="S22" s="363">
        <f t="shared" ref="S22:Y22" si="25">+S21/S20*100</f>
        <v>68.901161683488851</v>
      </c>
      <c r="T22" s="363">
        <f t="shared" si="25"/>
        <v>74.205595441228553</v>
      </c>
      <c r="U22" s="363">
        <f t="shared" si="25"/>
        <v>75.131839772599776</v>
      </c>
      <c r="V22" s="363">
        <f t="shared" si="25"/>
        <v>54.149191132414622</v>
      </c>
      <c r="W22" s="363">
        <f t="shared" si="25"/>
        <v>21.458333333333332</v>
      </c>
      <c r="X22" s="363">
        <f t="shared" si="25"/>
        <v>29.56152758132956</v>
      </c>
      <c r="Y22" s="363">
        <f t="shared" si="25"/>
        <v>97.18019257221458</v>
      </c>
      <c r="Z22" s="359"/>
      <c r="AA22" s="360" t="s">
        <v>20</v>
      </c>
      <c r="AB22" s="363">
        <f t="shared" ref="AB22:AH22" si="26">+AB21/AB20*100</f>
        <v>53.364269141531317</v>
      </c>
      <c r="AC22" s="363">
        <f t="shared" si="26"/>
        <v>63.427581582476535</v>
      </c>
      <c r="AD22" s="363">
        <f t="shared" si="26"/>
        <v>65.556441962504991</v>
      </c>
      <c r="AE22" s="363">
        <f t="shared" si="26"/>
        <v>55.763779527559052</v>
      </c>
      <c r="AF22" s="363">
        <f t="shared" si="26"/>
        <v>45.161290322580641</v>
      </c>
      <c r="AG22" s="363">
        <f t="shared" si="26"/>
        <v>84.530386740331494</v>
      </c>
      <c r="AH22" s="363">
        <f t="shared" si="26"/>
        <v>75.807940904893812</v>
      </c>
      <c r="AI22" s="359"/>
      <c r="AJ22" s="360" t="s">
        <v>20</v>
      </c>
      <c r="AK22" s="363">
        <f t="shared" ref="AK22:AQ22" si="27">+AK21/AK20*100</f>
        <v>6.5555555555555562</v>
      </c>
      <c r="AL22" s="363">
        <f t="shared" si="27"/>
        <v>168</v>
      </c>
      <c r="AM22" s="363">
        <f t="shared" si="27"/>
        <v>191.26213592233009</v>
      </c>
      <c r="AN22" s="363" t="e">
        <f t="shared" si="27"/>
        <v>#DIV/0!</v>
      </c>
      <c r="AO22" s="363">
        <f t="shared" si="27"/>
        <v>0</v>
      </c>
      <c r="AP22" s="363">
        <f t="shared" si="27"/>
        <v>100</v>
      </c>
      <c r="AQ22" s="363">
        <f t="shared" si="27"/>
        <v>205.3763440860215</v>
      </c>
    </row>
    <row r="23" spans="1:45">
      <c r="A23" s="361" t="s">
        <v>21</v>
      </c>
      <c r="B23" s="361">
        <f>+K23+S23+AK23</f>
        <v>490.4</v>
      </c>
      <c r="C23" s="361">
        <f>+L23+T23+AL23</f>
        <v>31682</v>
      </c>
      <c r="D23" s="360">
        <f>SUM(E23:H23)</f>
        <v>26487</v>
      </c>
      <c r="E23" s="361">
        <f t="shared" ref="E23:H24" si="28">+N23+V23+AN23</f>
        <v>6922</v>
      </c>
      <c r="F23" s="361">
        <f t="shared" si="28"/>
        <v>3151</v>
      </c>
      <c r="G23" s="361">
        <f t="shared" si="28"/>
        <v>544</v>
      </c>
      <c r="H23" s="361">
        <f t="shared" si="28"/>
        <v>15870</v>
      </c>
      <c r="I23" s="359"/>
      <c r="J23" s="361" t="s">
        <v>21</v>
      </c>
      <c r="K23" s="362">
        <f>[1]Rosica!K23+[1]Sevlievo!K23</f>
        <v>266.7</v>
      </c>
      <c r="L23" s="363">
        <f>[1]Rosica!L23+[1]Sevlievo!L23</f>
        <v>14234</v>
      </c>
      <c r="M23" s="363">
        <f>[1]Rosica!M23+[1]Sevlievo!M23</f>
        <v>11804</v>
      </c>
      <c r="N23" s="363">
        <f>[1]Rosica!N23+[1]Sevlievo!N23</f>
        <v>794</v>
      </c>
      <c r="O23" s="363">
        <f>[1]Rosica!O23+[1]Sevlievo!O23</f>
        <v>2225</v>
      </c>
      <c r="P23" s="363">
        <f>[1]Rosica!P23+[1]Sevlievo!P23</f>
        <v>374</v>
      </c>
      <c r="Q23" s="363">
        <f>[1]Rosica!Q23+[1]Sevlievo!Q23</f>
        <v>8411</v>
      </c>
      <c r="R23" s="361" t="s">
        <v>21</v>
      </c>
      <c r="S23" s="362">
        <f>[1]Rosica!S23+[1]Sevlievo!S23</f>
        <v>222.3</v>
      </c>
      <c r="T23" s="363">
        <f>[1]Rosica!T23+[1]Sevlievo!T23</f>
        <v>17435</v>
      </c>
      <c r="U23" s="363">
        <f>[1]Rosica!U23+[1]Sevlievo!U23</f>
        <v>14673</v>
      </c>
      <c r="V23" s="363">
        <f>[1]Rosica!V23+[1]Sevlievo!V23</f>
        <v>6128</v>
      </c>
      <c r="W23" s="363">
        <f>[1]Rosica!W23+[1]Sevlievo!W23</f>
        <v>924</v>
      </c>
      <c r="X23" s="363">
        <f>[1]Rosica!X23+[1]Sevlievo!X23</f>
        <v>170</v>
      </c>
      <c r="Y23" s="363">
        <f>[1]Rosica!Y23+[1]Sevlievo!Y23</f>
        <v>7451</v>
      </c>
      <c r="Z23" s="359"/>
      <c r="AA23" s="361" t="s">
        <v>21</v>
      </c>
      <c r="AB23" s="362">
        <f>[1]Rosica!AB23+[1]Sevlievo!AB23</f>
        <v>206.9</v>
      </c>
      <c r="AC23" s="363">
        <f>[1]Rosica!AC23+[1]Sevlievo!AC23</f>
        <v>17058</v>
      </c>
      <c r="AD23" s="363">
        <f>[1]Rosica!AD23+[1]Sevlievo!AD23</f>
        <v>14350</v>
      </c>
      <c r="AE23" s="363">
        <f>[1]Rosica!AE23+[1]Sevlievo!AE23</f>
        <v>6112</v>
      </c>
      <c r="AF23" s="363">
        <f>[1]Rosica!AF23+[1]Sevlievo!AF23</f>
        <v>848</v>
      </c>
      <c r="AG23" s="363">
        <f>[1]Rosica!AG23+[1]Sevlievo!AG23</f>
        <v>166</v>
      </c>
      <c r="AH23" s="363">
        <f>[1]Rosica!AH23+[1]Sevlievo!AH23</f>
        <v>7224</v>
      </c>
      <c r="AI23" s="359"/>
      <c r="AJ23" s="361" t="s">
        <v>21</v>
      </c>
      <c r="AK23" s="362">
        <f>[1]Rosica!AK23+[1]Sevlievo!AK23</f>
        <v>1.4</v>
      </c>
      <c r="AL23" s="363">
        <f>[1]Rosica!AL23+[1]Sevlievo!AL23</f>
        <v>13</v>
      </c>
      <c r="AM23" s="363">
        <f>[1]Rosica!AM23+[1]Sevlievo!AM23</f>
        <v>10</v>
      </c>
      <c r="AN23" s="363">
        <f>[1]Rosica!AN23+[1]Sevlievo!AN23</f>
        <v>0</v>
      </c>
      <c r="AO23" s="363">
        <f>[1]Rosica!AO23+[1]Sevlievo!AO23</f>
        <v>2</v>
      </c>
      <c r="AP23" s="363">
        <f>[1]Rosica!AP23+[1]Sevlievo!AP23</f>
        <v>0</v>
      </c>
      <c r="AQ23" s="363">
        <f>[1]Rosica!AQ23+[1]Sevlievo!AQ23</f>
        <v>8</v>
      </c>
    </row>
    <row r="24" spans="1:45">
      <c r="A24" s="361" t="s">
        <v>22</v>
      </c>
      <c r="B24" s="361">
        <f>+K24+S24+AK24</f>
        <v>295.87199999999996</v>
      </c>
      <c r="C24" s="361">
        <f>+L24+T24+AL24</f>
        <v>21305</v>
      </c>
      <c r="D24" s="360">
        <f>SUM(E24:H24)</f>
        <v>18499</v>
      </c>
      <c r="E24" s="361">
        <f t="shared" si="28"/>
        <v>4324</v>
      </c>
      <c r="F24" s="361">
        <f t="shared" si="28"/>
        <v>836</v>
      </c>
      <c r="G24" s="361">
        <f t="shared" si="28"/>
        <v>246</v>
      </c>
      <c r="H24" s="361">
        <f t="shared" si="28"/>
        <v>13093</v>
      </c>
      <c r="I24" s="359"/>
      <c r="J24" s="361" t="s">
        <v>22</v>
      </c>
      <c r="K24" s="362">
        <f>[1]Rosica!K24+[1]Sevlievo!K24</f>
        <v>171.2</v>
      </c>
      <c r="L24" s="363">
        <f>[1]Rosica!L24+[1]Sevlievo!L24</f>
        <v>9521</v>
      </c>
      <c r="M24" s="363">
        <f>[1]Rosica!M24+[1]Sevlievo!M24</f>
        <v>8253</v>
      </c>
      <c r="N24" s="363">
        <f>[1]Rosica!N24+[1]Sevlievo!N24</f>
        <v>826</v>
      </c>
      <c r="O24" s="363">
        <f>[1]Rosica!O24+[1]Sevlievo!O24</f>
        <v>417</v>
      </c>
      <c r="P24" s="363">
        <f>[1]Rosica!P24+[1]Sevlievo!P24</f>
        <v>84</v>
      </c>
      <c r="Q24" s="363">
        <f>[1]Rosica!Q24+[1]Sevlievo!Q24</f>
        <v>6926</v>
      </c>
      <c r="R24" s="361" t="s">
        <v>22</v>
      </c>
      <c r="S24" s="362">
        <f>[1]Rosica!S24+[1]Sevlievo!S24</f>
        <v>124.19999999999999</v>
      </c>
      <c r="T24" s="363">
        <f>[1]Rosica!T24+[1]Sevlievo!T24</f>
        <v>11583</v>
      </c>
      <c r="U24" s="363">
        <f>[1]Rosica!U24+[1]Sevlievo!U24</f>
        <v>10058</v>
      </c>
      <c r="V24" s="363">
        <f>[1]Rosica!V24+[1]Sevlievo!V24</f>
        <v>3498</v>
      </c>
      <c r="W24" s="363">
        <f>[1]Rosica!W24+[1]Sevlievo!W24</f>
        <v>419</v>
      </c>
      <c r="X24" s="363">
        <f>[1]Rosica!X24+[1]Sevlievo!X24</f>
        <v>160</v>
      </c>
      <c r="Y24" s="363">
        <f>[1]Rosica!Y24+[1]Sevlievo!Y24</f>
        <v>5981</v>
      </c>
      <c r="Z24" s="359"/>
      <c r="AA24" s="361" t="s">
        <v>22</v>
      </c>
      <c r="AB24" s="362">
        <f>[1]Rosica!AB24+[1]Sevlievo!AB24</f>
        <v>112.99999999999999</v>
      </c>
      <c r="AC24" s="363">
        <f>[1]Rosica!AC24+[1]Sevlievo!AC24</f>
        <v>11189</v>
      </c>
      <c r="AD24" s="363">
        <f>[1]Rosica!AD24+[1]Sevlievo!AD24</f>
        <v>9712</v>
      </c>
      <c r="AE24" s="363">
        <f>[1]Rosica!AE24+[1]Sevlievo!AE24</f>
        <v>3438</v>
      </c>
      <c r="AF24" s="363">
        <f>[1]Rosica!AF24+[1]Sevlievo!AF24</f>
        <v>408</v>
      </c>
      <c r="AG24" s="363">
        <f>[1]Rosica!AG24+[1]Sevlievo!AG24</f>
        <v>150</v>
      </c>
      <c r="AH24" s="363">
        <f>[1]Rosica!AH24+[1]Sevlievo!AH24</f>
        <v>5716</v>
      </c>
      <c r="AI24" s="359"/>
      <c r="AJ24" s="361" t="s">
        <v>22</v>
      </c>
      <c r="AK24" s="362">
        <f>[1]Rosica!AK24+[1]Sevlievo!AK24</f>
        <v>0.47199999999999998</v>
      </c>
      <c r="AL24" s="363">
        <f>[1]Rosica!AL24+[1]Sevlievo!AL24</f>
        <v>201</v>
      </c>
      <c r="AM24" s="363">
        <f>[1]Rosica!AM24+[1]Sevlievo!AM24</f>
        <v>188</v>
      </c>
      <c r="AN24" s="363">
        <f>[1]Rosica!AN24+[1]Sevlievo!AN24</f>
        <v>0</v>
      </c>
      <c r="AO24" s="363">
        <f>[1]Rosica!AO24+[1]Sevlievo!AO24</f>
        <v>0</v>
      </c>
      <c r="AP24" s="363">
        <f>[1]Rosica!AP24+[1]Sevlievo!AP24</f>
        <v>2</v>
      </c>
      <c r="AQ24" s="363">
        <f>[1]Rosica!AQ24+[1]Sevlievo!AQ24</f>
        <v>186</v>
      </c>
    </row>
    <row r="25" spans="1:45">
      <c r="A25" s="361" t="s">
        <v>12</v>
      </c>
      <c r="B25" s="363">
        <f t="shared" ref="B25:H25" si="29">+B24/B23*100</f>
        <v>60.332789559543222</v>
      </c>
      <c r="C25" s="363">
        <f t="shared" si="29"/>
        <v>67.246385960482286</v>
      </c>
      <c r="D25" s="363">
        <f t="shared" si="29"/>
        <v>69.841809189413667</v>
      </c>
      <c r="E25" s="363">
        <f t="shared" si="29"/>
        <v>62.467494943657897</v>
      </c>
      <c r="F25" s="363">
        <f t="shared" si="29"/>
        <v>26.531259917486512</v>
      </c>
      <c r="G25" s="363">
        <f t="shared" si="29"/>
        <v>45.220588235294116</v>
      </c>
      <c r="H25" s="363">
        <f t="shared" si="29"/>
        <v>82.501575299306879</v>
      </c>
      <c r="I25" s="359"/>
      <c r="J25" s="361" t="s">
        <v>12</v>
      </c>
      <c r="K25" s="363">
        <f t="shared" ref="K25:Q25" si="30">+K24/K23*100</f>
        <v>64.191976002999624</v>
      </c>
      <c r="L25" s="363">
        <f t="shared" si="30"/>
        <v>66.889138682028943</v>
      </c>
      <c r="M25" s="363">
        <f t="shared" si="30"/>
        <v>69.916977295831913</v>
      </c>
      <c r="N25" s="363">
        <f t="shared" si="30"/>
        <v>104.03022670025189</v>
      </c>
      <c r="O25" s="363">
        <f t="shared" si="30"/>
        <v>18.741573033707866</v>
      </c>
      <c r="P25" s="363">
        <f t="shared" si="30"/>
        <v>22.459893048128343</v>
      </c>
      <c r="Q25" s="363">
        <f t="shared" si="30"/>
        <v>82.344548805136128</v>
      </c>
      <c r="R25" s="361" t="s">
        <v>12</v>
      </c>
      <c r="S25" s="363">
        <f t="shared" ref="S25:Y25" si="31">+S24/S23*100</f>
        <v>55.87044534412955</v>
      </c>
      <c r="T25" s="363">
        <f t="shared" si="31"/>
        <v>66.435331230283907</v>
      </c>
      <c r="U25" s="363">
        <f t="shared" si="31"/>
        <v>68.547672595924496</v>
      </c>
      <c r="V25" s="363">
        <f t="shared" si="31"/>
        <v>57.082245430809394</v>
      </c>
      <c r="W25" s="363">
        <f t="shared" si="31"/>
        <v>45.346320346320347</v>
      </c>
      <c r="X25" s="363">
        <f t="shared" si="31"/>
        <v>94.117647058823522</v>
      </c>
      <c r="Y25" s="363">
        <f t="shared" si="31"/>
        <v>80.271104549724868</v>
      </c>
      <c r="Z25" s="359"/>
      <c r="AA25" s="361" t="s">
        <v>12</v>
      </c>
      <c r="AB25" s="363">
        <f t="shared" ref="AB25:AH25" si="32">+AB24/AB23*100</f>
        <v>54.615756404059923</v>
      </c>
      <c r="AC25" s="363">
        <f t="shared" si="32"/>
        <v>65.593856255129552</v>
      </c>
      <c r="AD25" s="363">
        <f t="shared" si="32"/>
        <v>67.679442508710792</v>
      </c>
      <c r="AE25" s="363">
        <f t="shared" si="32"/>
        <v>56.25</v>
      </c>
      <c r="AF25" s="363">
        <f t="shared" si="32"/>
        <v>48.113207547169814</v>
      </c>
      <c r="AG25" s="363">
        <f t="shared" si="32"/>
        <v>90.361445783132538</v>
      </c>
      <c r="AH25" s="363">
        <f t="shared" si="32"/>
        <v>79.125138427464009</v>
      </c>
      <c r="AI25" s="359"/>
      <c r="AJ25" s="361" t="s">
        <v>12</v>
      </c>
      <c r="AK25" s="363">
        <f t="shared" ref="AK25:AQ25" si="33">+AK24/AK23*100</f>
        <v>33.714285714285715</v>
      </c>
      <c r="AL25" s="363">
        <f t="shared" si="33"/>
        <v>1546.1538461538462</v>
      </c>
      <c r="AM25" s="363">
        <f t="shared" si="33"/>
        <v>1880</v>
      </c>
      <c r="AN25" s="363" t="e">
        <f t="shared" si="33"/>
        <v>#DIV/0!</v>
      </c>
      <c r="AO25" s="363">
        <f t="shared" si="33"/>
        <v>0</v>
      </c>
      <c r="AP25" s="363" t="e">
        <f t="shared" si="33"/>
        <v>#DIV/0!</v>
      </c>
      <c r="AQ25" s="363">
        <f t="shared" si="33"/>
        <v>2325</v>
      </c>
    </row>
    <row r="26" spans="1:45">
      <c r="A26" s="361" t="s">
        <v>23</v>
      </c>
      <c r="B26" s="361">
        <f>+K26+S26+AK26</f>
        <v>77</v>
      </c>
      <c r="C26" s="361">
        <f>+L26+T26+AL26</f>
        <v>1993</v>
      </c>
      <c r="D26" s="360">
        <f>SUM(E26:H26)</f>
        <v>1789</v>
      </c>
      <c r="E26" s="361">
        <f t="shared" ref="E26:H27" si="34">+N26+V26+AN26</f>
        <v>14</v>
      </c>
      <c r="F26" s="361">
        <f t="shared" si="34"/>
        <v>405</v>
      </c>
      <c r="G26" s="361">
        <f t="shared" si="34"/>
        <v>57</v>
      </c>
      <c r="H26" s="361">
        <f t="shared" si="34"/>
        <v>1313</v>
      </c>
      <c r="I26" s="359"/>
      <c r="J26" s="361" t="s">
        <v>23</v>
      </c>
      <c r="K26" s="362">
        <f>[1]Rosica!K26+[1]Sevlievo!K26</f>
        <v>33.299999999999997</v>
      </c>
      <c r="L26" s="363">
        <f>[1]Rosica!L26+[1]Sevlievo!L26</f>
        <v>673</v>
      </c>
      <c r="M26" s="363">
        <f>[1]Rosica!M26+[1]Sevlievo!M26</f>
        <v>597</v>
      </c>
      <c r="N26" s="363">
        <f>[1]Rosica!N26+[1]Sevlievo!N26</f>
        <v>7</v>
      </c>
      <c r="O26" s="363">
        <f>[1]Rosica!O26+[1]Sevlievo!O26</f>
        <v>141</v>
      </c>
      <c r="P26" s="363">
        <f>[1]Rosica!P26+[1]Sevlievo!P26</f>
        <v>24</v>
      </c>
      <c r="Q26" s="363">
        <f>[1]Rosica!Q26+[1]Sevlievo!Q26</f>
        <v>425</v>
      </c>
      <c r="R26" s="361" t="s">
        <v>23</v>
      </c>
      <c r="S26" s="362">
        <f>[1]Rosica!S26+[1]Sevlievo!S26</f>
        <v>43.1</v>
      </c>
      <c r="T26" s="363">
        <f>[1]Rosica!T26+[1]Sevlievo!T26</f>
        <v>1305</v>
      </c>
      <c r="U26" s="363">
        <f>[1]Rosica!U26+[1]Sevlievo!U26</f>
        <v>1180</v>
      </c>
      <c r="V26" s="363">
        <f>[1]Rosica!V26+[1]Sevlievo!V26</f>
        <v>7</v>
      </c>
      <c r="W26" s="363">
        <f>[1]Rosica!W26+[1]Sevlievo!W26</f>
        <v>262</v>
      </c>
      <c r="X26" s="363">
        <f>[1]Rosica!X26+[1]Sevlievo!X26</f>
        <v>33</v>
      </c>
      <c r="Y26" s="363">
        <f>[1]Rosica!Y26+[1]Sevlievo!Y26</f>
        <v>878</v>
      </c>
      <c r="Z26" s="359"/>
      <c r="AA26" s="361" t="s">
        <v>23</v>
      </c>
      <c r="AB26" s="362">
        <f>[1]Rosica!AB26+[1]Sevlievo!AB26</f>
        <v>0.3</v>
      </c>
      <c r="AC26" s="363">
        <f>[1]Rosica!AC26+[1]Sevlievo!AC26</f>
        <v>8</v>
      </c>
      <c r="AD26" s="363">
        <f>[1]Rosica!AD26+[1]Sevlievo!AD26</f>
        <v>7</v>
      </c>
      <c r="AE26" s="363">
        <f>[1]Rosica!AE26+[1]Sevlievo!AE26</f>
        <v>1</v>
      </c>
      <c r="AF26" s="363">
        <f>[1]Rosica!AF26+[1]Sevlievo!AF26</f>
        <v>1</v>
      </c>
      <c r="AG26" s="363">
        <f>[1]Rosica!AG26+[1]Sevlievo!AG26</f>
        <v>0</v>
      </c>
      <c r="AH26" s="363">
        <f>[1]Rosica!AH26+[1]Sevlievo!AH26</f>
        <v>5</v>
      </c>
      <c r="AI26" s="359"/>
      <c r="AJ26" s="361" t="s">
        <v>23</v>
      </c>
      <c r="AK26" s="362">
        <f>[1]Rosica!AK26+[1]Sevlievo!AK26</f>
        <v>0.6</v>
      </c>
      <c r="AL26" s="363">
        <f>[1]Rosica!AL26+[1]Sevlievo!AL26</f>
        <v>15</v>
      </c>
      <c r="AM26" s="363">
        <f>[1]Rosica!AM26+[1]Sevlievo!AM26</f>
        <v>12</v>
      </c>
      <c r="AN26" s="363">
        <f>[1]Rosica!AN26+[1]Sevlievo!AN26</f>
        <v>0</v>
      </c>
      <c r="AO26" s="363">
        <f>[1]Rosica!AO26+[1]Sevlievo!AO26</f>
        <v>2</v>
      </c>
      <c r="AP26" s="363">
        <f>[1]Rosica!AP26+[1]Sevlievo!AP26</f>
        <v>0</v>
      </c>
      <c r="AQ26" s="363">
        <f>[1]Rosica!AQ26+[1]Sevlievo!AQ26</f>
        <v>10</v>
      </c>
      <c r="AS26" s="178"/>
    </row>
    <row r="27" spans="1:45">
      <c r="A27" s="361" t="s">
        <v>24</v>
      </c>
      <c r="B27" s="361">
        <f>+K27+S27+AK27</f>
        <v>21.599999999999998</v>
      </c>
      <c r="C27" s="361">
        <f>+L27+T27+AL27</f>
        <v>1511</v>
      </c>
      <c r="D27" s="360">
        <f>SUM(E27:H27)</f>
        <v>1340</v>
      </c>
      <c r="E27" s="361">
        <f t="shared" si="34"/>
        <v>9</v>
      </c>
      <c r="F27" s="361">
        <f t="shared" si="34"/>
        <v>22</v>
      </c>
      <c r="G27" s="361">
        <f t="shared" si="34"/>
        <v>0</v>
      </c>
      <c r="H27" s="361">
        <f t="shared" si="34"/>
        <v>1309</v>
      </c>
      <c r="I27" s="359"/>
      <c r="J27" s="361" t="s">
        <v>24</v>
      </c>
      <c r="K27" s="362">
        <f>[1]Rosica!K27+[1]Sevlievo!K27</f>
        <v>4.2</v>
      </c>
      <c r="L27" s="363">
        <f>[1]Rosica!L27+[1]Sevlievo!L27</f>
        <v>543</v>
      </c>
      <c r="M27" s="363">
        <f>[1]Rosica!M27+[1]Sevlievo!M27</f>
        <v>466</v>
      </c>
      <c r="N27" s="363">
        <f>[1]Rosica!N27+[1]Sevlievo!N27</f>
        <v>0</v>
      </c>
      <c r="O27" s="363">
        <f>[1]Rosica!O27+[1]Sevlievo!O27</f>
        <v>1</v>
      </c>
      <c r="P27" s="363">
        <f>[1]Rosica!P27+[1]Sevlievo!P27</f>
        <v>0</v>
      </c>
      <c r="Q27" s="363">
        <f>[1]Rosica!Q27+[1]Sevlievo!Q27</f>
        <v>465</v>
      </c>
      <c r="R27" s="361" t="s">
        <v>24</v>
      </c>
      <c r="S27" s="362">
        <f>[1]Rosica!S27+[1]Sevlievo!S27</f>
        <v>17.399999999999999</v>
      </c>
      <c r="T27" s="363">
        <f>[1]Rosica!T27+[1]Sevlievo!T27</f>
        <v>968</v>
      </c>
      <c r="U27" s="363">
        <f>[1]Rosica!U27+[1]Sevlievo!U27</f>
        <v>874</v>
      </c>
      <c r="V27" s="363">
        <f>[1]Rosica!V27+[1]Sevlievo!V27</f>
        <v>9</v>
      </c>
      <c r="W27" s="363">
        <f>[1]Rosica!W27+[1]Sevlievo!W27</f>
        <v>21</v>
      </c>
      <c r="X27" s="363">
        <f>[1]Rosica!X27+[1]Sevlievo!X27</f>
        <v>0</v>
      </c>
      <c r="Y27" s="363">
        <f>[1]Rosica!Y27+[1]Sevlievo!Y27</f>
        <v>844</v>
      </c>
      <c r="Z27" s="359"/>
      <c r="AA27" s="361" t="s">
        <v>24</v>
      </c>
      <c r="AB27" s="362">
        <f>[1]Rosica!AB27+[1]Sevlievo!AB27</f>
        <v>0</v>
      </c>
      <c r="AC27" s="363">
        <f>[1]Rosica!AC27+[1]Sevlievo!AC27</f>
        <v>0</v>
      </c>
      <c r="AD27" s="363">
        <f>[1]Rosica!AD27+[1]Sevlievo!AD27</f>
        <v>0</v>
      </c>
      <c r="AE27" s="363">
        <f>[1]Rosica!AE27+[1]Sevlievo!AE27</f>
        <v>0</v>
      </c>
      <c r="AF27" s="363">
        <f>[1]Rosica!AF27+[1]Sevlievo!AF27</f>
        <v>0</v>
      </c>
      <c r="AG27" s="363">
        <f>[1]Rosica!AG27+[1]Sevlievo!AG27</f>
        <v>0</v>
      </c>
      <c r="AH27" s="363">
        <f>[1]Rosica!AH27+[1]Sevlievo!AH27</f>
        <v>0</v>
      </c>
      <c r="AI27" s="359"/>
      <c r="AJ27" s="361" t="s">
        <v>24</v>
      </c>
      <c r="AK27" s="362">
        <f>[1]Rosica!AK27+[1]Sevlievo!AK27</f>
        <v>0</v>
      </c>
      <c r="AL27" s="363">
        <f>[1]Rosica!AL27+[1]Sevlievo!AL27</f>
        <v>0</v>
      </c>
      <c r="AM27" s="363">
        <f>[1]Rosica!AM27+[1]Sevlievo!AM27</f>
        <v>0</v>
      </c>
      <c r="AN27" s="363">
        <f>[1]Rosica!AN27+[1]Sevlievo!AN27</f>
        <v>0</v>
      </c>
      <c r="AO27" s="363">
        <f>[1]Rosica!AO27+[1]Sevlievo!AO27</f>
        <v>0</v>
      </c>
      <c r="AP27" s="363">
        <f>[1]Rosica!AP27+[1]Sevlievo!AP27</f>
        <v>0</v>
      </c>
      <c r="AQ27" s="363">
        <f>[1]Rosica!AQ27+[1]Sevlievo!AQ27</f>
        <v>0</v>
      </c>
      <c r="AS27" s="21"/>
    </row>
    <row r="28" spans="1:45">
      <c r="A28" s="361" t="s">
        <v>12</v>
      </c>
      <c r="B28" s="363">
        <f t="shared" ref="B28:H28" si="35">+B27/B26*100</f>
        <v>28.051948051948049</v>
      </c>
      <c r="C28" s="363">
        <f t="shared" si="35"/>
        <v>75.815353738083289</v>
      </c>
      <c r="D28" s="363">
        <f t="shared" si="35"/>
        <v>74.902179988820578</v>
      </c>
      <c r="E28" s="363">
        <f t="shared" si="35"/>
        <v>64.285714285714292</v>
      </c>
      <c r="F28" s="363">
        <f t="shared" si="35"/>
        <v>5.4320987654320989</v>
      </c>
      <c r="G28" s="363">
        <f t="shared" si="35"/>
        <v>0</v>
      </c>
      <c r="H28" s="363">
        <f t="shared" si="35"/>
        <v>99.695354150799702</v>
      </c>
      <c r="I28" s="359"/>
      <c r="J28" s="361" t="s">
        <v>12</v>
      </c>
      <c r="K28" s="363">
        <f t="shared" ref="K28:Q28" si="36">+K27/K26*100</f>
        <v>12.612612612612613</v>
      </c>
      <c r="L28" s="363">
        <f t="shared" si="36"/>
        <v>80.683506686478452</v>
      </c>
      <c r="M28" s="363">
        <f t="shared" si="36"/>
        <v>78.056951423785591</v>
      </c>
      <c r="N28" s="363">
        <f t="shared" si="36"/>
        <v>0</v>
      </c>
      <c r="O28" s="363">
        <f t="shared" si="36"/>
        <v>0.70921985815602839</v>
      </c>
      <c r="P28" s="363">
        <f t="shared" si="36"/>
        <v>0</v>
      </c>
      <c r="Q28" s="363">
        <f t="shared" si="36"/>
        <v>109.41176470588236</v>
      </c>
      <c r="R28" s="361" t="s">
        <v>12</v>
      </c>
      <c r="S28" s="363">
        <f t="shared" ref="S28:Y28" si="37">+S27/S26*100</f>
        <v>40.371229698375863</v>
      </c>
      <c r="T28" s="363">
        <f t="shared" si="37"/>
        <v>74.17624521072797</v>
      </c>
      <c r="U28" s="363">
        <f t="shared" si="37"/>
        <v>74.067796610169495</v>
      </c>
      <c r="V28" s="363">
        <f t="shared" si="37"/>
        <v>128.57142857142858</v>
      </c>
      <c r="W28" s="363">
        <f t="shared" si="37"/>
        <v>8.015267175572518</v>
      </c>
      <c r="X28" s="363">
        <f t="shared" si="37"/>
        <v>0</v>
      </c>
      <c r="Y28" s="363">
        <f t="shared" si="37"/>
        <v>96.127562642369028</v>
      </c>
      <c r="Z28" s="359"/>
      <c r="AA28" s="361" t="s">
        <v>12</v>
      </c>
      <c r="AB28" s="363">
        <f t="shared" ref="AB28:AH28" si="38">+AB27/AB26*100</f>
        <v>0</v>
      </c>
      <c r="AC28" s="363">
        <f t="shared" si="38"/>
        <v>0</v>
      </c>
      <c r="AD28" s="363">
        <f t="shared" si="38"/>
        <v>0</v>
      </c>
      <c r="AE28" s="363">
        <f t="shared" si="38"/>
        <v>0</v>
      </c>
      <c r="AF28" s="363">
        <f t="shared" si="38"/>
        <v>0</v>
      </c>
      <c r="AG28" s="363" t="e">
        <f t="shared" si="38"/>
        <v>#DIV/0!</v>
      </c>
      <c r="AH28" s="363">
        <f t="shared" si="38"/>
        <v>0</v>
      </c>
      <c r="AI28" s="359"/>
      <c r="AJ28" s="361" t="s">
        <v>12</v>
      </c>
      <c r="AK28" s="363">
        <f t="shared" ref="AK28:AQ28" si="39">+AK27/AK26*100</f>
        <v>0</v>
      </c>
      <c r="AL28" s="363">
        <f t="shared" si="39"/>
        <v>0</v>
      </c>
      <c r="AM28" s="363">
        <f t="shared" si="39"/>
        <v>0</v>
      </c>
      <c r="AN28" s="363" t="e">
        <f t="shared" si="39"/>
        <v>#DIV/0!</v>
      </c>
      <c r="AO28" s="363">
        <f t="shared" si="39"/>
        <v>0</v>
      </c>
      <c r="AP28" s="363" t="e">
        <f t="shared" si="39"/>
        <v>#DIV/0!</v>
      </c>
      <c r="AQ28" s="363">
        <f t="shared" si="39"/>
        <v>0</v>
      </c>
    </row>
    <row r="29" spans="1:45">
      <c r="A29" s="361" t="s">
        <v>25</v>
      </c>
      <c r="B29" s="361">
        <f>+K29+S29+AK29</f>
        <v>180.9</v>
      </c>
      <c r="C29" s="361">
        <f>+L29+T29+AL29</f>
        <v>5069</v>
      </c>
      <c r="D29" s="360">
        <f>SUM(E29:H29)</f>
        <v>4429</v>
      </c>
      <c r="E29" s="361">
        <f t="shared" ref="E29:H30" si="40">+N29+V29+AN29</f>
        <v>236</v>
      </c>
      <c r="F29" s="361">
        <f t="shared" si="40"/>
        <v>742</v>
      </c>
      <c r="G29" s="361">
        <f t="shared" si="40"/>
        <v>62</v>
      </c>
      <c r="H29" s="361">
        <f t="shared" si="40"/>
        <v>3389</v>
      </c>
      <c r="I29" s="359"/>
      <c r="J29" s="361" t="s">
        <v>25</v>
      </c>
      <c r="K29" s="362">
        <f>[1]Rosica!K29+[1]Sevlievo!K29</f>
        <v>59.8</v>
      </c>
      <c r="L29" s="363">
        <f>[1]Rosica!L29+[1]Sevlievo!L29</f>
        <v>1172</v>
      </c>
      <c r="M29" s="363">
        <f>[1]Rosica!M29+[1]Sevlievo!M29</f>
        <v>1016</v>
      </c>
      <c r="N29" s="363">
        <f>[1]Rosica!N29+[1]Sevlievo!N29</f>
        <v>8</v>
      </c>
      <c r="O29" s="363">
        <f>[1]Rosica!O29+[1]Sevlievo!O29</f>
        <v>181</v>
      </c>
      <c r="P29" s="363">
        <f>[1]Rosica!P29+[1]Sevlievo!P29</f>
        <v>42</v>
      </c>
      <c r="Q29" s="363">
        <f>[1]Rosica!Q29+[1]Sevlievo!Q29</f>
        <v>785</v>
      </c>
      <c r="R29" s="361" t="s">
        <v>25</v>
      </c>
      <c r="S29" s="362">
        <f>[1]Rosica!S29+[1]Sevlievo!S29</f>
        <v>117.8</v>
      </c>
      <c r="T29" s="363">
        <f>[1]Rosica!T29+[1]Sevlievo!T29</f>
        <v>3820</v>
      </c>
      <c r="U29" s="363">
        <f>[1]Rosica!U29+[1]Sevlievo!U29</f>
        <v>3349</v>
      </c>
      <c r="V29" s="363">
        <f>[1]Rosica!V29+[1]Sevlievo!V29</f>
        <v>228</v>
      </c>
      <c r="W29" s="363">
        <f>[1]Rosica!W29+[1]Sevlievo!W29</f>
        <v>557</v>
      </c>
      <c r="X29" s="363">
        <f>[1]Rosica!X29+[1]Sevlievo!X29</f>
        <v>20</v>
      </c>
      <c r="Y29" s="363">
        <f>[1]Rosica!Y29+[1]Sevlievo!Y29</f>
        <v>2544</v>
      </c>
      <c r="Z29" s="359"/>
      <c r="AA29" s="361" t="s">
        <v>25</v>
      </c>
      <c r="AB29" s="362">
        <f>[1]Rosica!AB29+[1]Sevlievo!AB29</f>
        <v>1.1000000000000001</v>
      </c>
      <c r="AC29" s="363">
        <f>[1]Rosica!AC29+[1]Sevlievo!AC29</f>
        <v>38</v>
      </c>
      <c r="AD29" s="363">
        <f>[1]Rosica!AD29+[1]Sevlievo!AD29</f>
        <v>29</v>
      </c>
      <c r="AE29" s="363">
        <f>[1]Rosica!AE29+[1]Sevlievo!AE29</f>
        <v>2</v>
      </c>
      <c r="AF29" s="363">
        <f>[1]Rosica!AF29+[1]Sevlievo!AF29</f>
        <v>1</v>
      </c>
      <c r="AG29" s="363">
        <f>[1]Rosica!AG29+[1]Sevlievo!AG29</f>
        <v>0</v>
      </c>
      <c r="AH29" s="363">
        <f>[1]Rosica!AH29+[1]Sevlievo!AH29</f>
        <v>26</v>
      </c>
      <c r="AI29" s="359"/>
      <c r="AJ29" s="361" t="s">
        <v>25</v>
      </c>
      <c r="AK29" s="362">
        <f>[1]Rosica!AK29+[1]Sevlievo!AK29</f>
        <v>3.3</v>
      </c>
      <c r="AL29" s="363">
        <f>[1]Rosica!AL29+[1]Sevlievo!AL29</f>
        <v>77</v>
      </c>
      <c r="AM29" s="363">
        <f>[1]Rosica!AM29+[1]Sevlievo!AM29</f>
        <v>64</v>
      </c>
      <c r="AN29" s="363">
        <f>[1]Rosica!AN29+[1]Sevlievo!AN29</f>
        <v>0</v>
      </c>
      <c r="AO29" s="363">
        <f>[1]Rosica!AO29+[1]Sevlievo!AO29</f>
        <v>4</v>
      </c>
      <c r="AP29" s="363">
        <f>[1]Rosica!AP29+[1]Sevlievo!AP29</f>
        <v>0</v>
      </c>
      <c r="AQ29" s="363">
        <f>[1]Rosica!AQ29+[1]Sevlievo!AQ29</f>
        <v>60</v>
      </c>
    </row>
    <row r="30" spans="1:45">
      <c r="A30" s="361" t="s">
        <v>26</v>
      </c>
      <c r="B30" s="361">
        <f>+K30+S30+AK30</f>
        <v>237.39999999999998</v>
      </c>
      <c r="C30" s="361">
        <f>+L30+T30+AL30</f>
        <v>8718</v>
      </c>
      <c r="D30" s="360">
        <f>SUM(E30:H30)</f>
        <v>7621</v>
      </c>
      <c r="E30" s="361">
        <f t="shared" si="40"/>
        <v>0</v>
      </c>
      <c r="F30" s="361">
        <f t="shared" si="40"/>
        <v>164</v>
      </c>
      <c r="G30" s="361">
        <f t="shared" si="40"/>
        <v>3</v>
      </c>
      <c r="H30" s="361">
        <f t="shared" si="40"/>
        <v>7454</v>
      </c>
      <c r="I30" s="359"/>
      <c r="J30" s="361" t="s">
        <v>26</v>
      </c>
      <c r="K30" s="362">
        <f>[1]Rosica!K30+[1]Sevlievo!K30</f>
        <v>60</v>
      </c>
      <c r="L30" s="363">
        <f>[1]Rosica!L30+[1]Sevlievo!L30</f>
        <v>1713</v>
      </c>
      <c r="M30" s="363">
        <f>[1]Rosica!M30+[1]Sevlievo!M30</f>
        <v>1505</v>
      </c>
      <c r="N30" s="363">
        <f>[1]Rosica!N30+[1]Sevlievo!N30</f>
        <v>0</v>
      </c>
      <c r="O30" s="363">
        <f>[1]Rosica!O30+[1]Sevlievo!O30</f>
        <v>101</v>
      </c>
      <c r="P30" s="363">
        <f>[1]Rosica!P30+[1]Sevlievo!P30</f>
        <v>3</v>
      </c>
      <c r="Q30" s="363">
        <f>[1]Rosica!Q30+[1]Sevlievo!Q30</f>
        <v>1401</v>
      </c>
      <c r="R30" s="361" t="s">
        <v>26</v>
      </c>
      <c r="S30" s="362">
        <f>[1]Rosica!S30+[1]Sevlievo!S30</f>
        <v>177.39999999999998</v>
      </c>
      <c r="T30" s="363">
        <f>[1]Rosica!T30+[1]Sevlievo!T30</f>
        <v>7005</v>
      </c>
      <c r="U30" s="363">
        <f>[1]Rosica!U30+[1]Sevlievo!U30</f>
        <v>6116</v>
      </c>
      <c r="V30" s="363">
        <f>[1]Rosica!V30+[1]Sevlievo!V30</f>
        <v>0</v>
      </c>
      <c r="W30" s="363">
        <f>[1]Rosica!W30+[1]Sevlievo!W30</f>
        <v>63</v>
      </c>
      <c r="X30" s="363">
        <f>[1]Rosica!X30+[1]Sevlievo!X30</f>
        <v>0</v>
      </c>
      <c r="Y30" s="363">
        <f>[1]Rosica!Y30+[1]Sevlievo!Y30</f>
        <v>6053</v>
      </c>
      <c r="Z30" s="359"/>
      <c r="AA30" s="361" t="s">
        <v>26</v>
      </c>
      <c r="AB30" s="362">
        <f>[1]Rosica!AB30+[1]Sevlievo!AB30</f>
        <v>0</v>
      </c>
      <c r="AC30" s="363">
        <f>[1]Rosica!AC30+[1]Sevlievo!AC30</f>
        <v>0</v>
      </c>
      <c r="AD30" s="363">
        <f>[1]Rosica!AD30+[1]Sevlievo!AD30</f>
        <v>0</v>
      </c>
      <c r="AE30" s="363">
        <f>[1]Rosica!AE30+[1]Sevlievo!AE30</f>
        <v>0</v>
      </c>
      <c r="AF30" s="363">
        <f>[1]Rosica!AF30+[1]Sevlievo!AF30</f>
        <v>0</v>
      </c>
      <c r="AG30" s="363">
        <f>[1]Rosica!AG30+[1]Sevlievo!AG30</f>
        <v>0</v>
      </c>
      <c r="AH30" s="363">
        <f>[1]Rosica!AH30+[1]Sevlievo!AH30</f>
        <v>0</v>
      </c>
      <c r="AI30" s="359"/>
      <c r="AJ30" s="361" t="s">
        <v>26</v>
      </c>
      <c r="AK30" s="362">
        <f>[1]Rosica!AK30+[1]Sevlievo!AK30</f>
        <v>0</v>
      </c>
      <c r="AL30" s="363">
        <f>[1]Rosica!AL30+[1]Sevlievo!AL30</f>
        <v>0</v>
      </c>
      <c r="AM30" s="363">
        <f>[1]Rosica!AM30+[1]Sevlievo!AM30</f>
        <v>0</v>
      </c>
      <c r="AN30" s="363">
        <f>[1]Rosica!AN30+[1]Sevlievo!AN30</f>
        <v>0</v>
      </c>
      <c r="AO30" s="363">
        <f>[1]Rosica!AO30+[1]Sevlievo!AO30</f>
        <v>0</v>
      </c>
      <c r="AP30" s="363">
        <f>[1]Rosica!AP30+[1]Sevlievo!AP30</f>
        <v>0</v>
      </c>
      <c r="AQ30" s="363">
        <f>[1]Rosica!AQ30+[1]Sevlievo!AQ30</f>
        <v>0</v>
      </c>
    </row>
    <row r="31" spans="1:45">
      <c r="A31" s="361" t="s">
        <v>12</v>
      </c>
      <c r="B31" s="363">
        <f t="shared" ref="B31:H31" si="41">+B30/B29*100</f>
        <v>131.232725262576</v>
      </c>
      <c r="C31" s="363">
        <f t="shared" si="41"/>
        <v>171.98658512527126</v>
      </c>
      <c r="D31" s="363">
        <f t="shared" si="41"/>
        <v>172.07044479566494</v>
      </c>
      <c r="E31" s="363">
        <f t="shared" si="41"/>
        <v>0</v>
      </c>
      <c r="F31" s="363">
        <f t="shared" si="41"/>
        <v>22.102425876010781</v>
      </c>
      <c r="G31" s="363">
        <f t="shared" si="41"/>
        <v>4.838709677419355</v>
      </c>
      <c r="H31" s="363">
        <f t="shared" si="41"/>
        <v>219.94688698731187</v>
      </c>
      <c r="I31" s="359"/>
      <c r="J31" s="361" t="s">
        <v>12</v>
      </c>
      <c r="K31" s="363">
        <f t="shared" ref="K31:Q31" si="42">+K30/K29*100</f>
        <v>100.33444816053512</v>
      </c>
      <c r="L31" s="363">
        <f t="shared" si="42"/>
        <v>146.16040955631399</v>
      </c>
      <c r="M31" s="363">
        <f t="shared" si="42"/>
        <v>148.12992125984252</v>
      </c>
      <c r="N31" s="363">
        <f t="shared" si="42"/>
        <v>0</v>
      </c>
      <c r="O31" s="363">
        <f t="shared" si="42"/>
        <v>55.80110497237569</v>
      </c>
      <c r="P31" s="363">
        <f t="shared" si="42"/>
        <v>7.1428571428571423</v>
      </c>
      <c r="Q31" s="363">
        <f t="shared" si="42"/>
        <v>178.47133757961785</v>
      </c>
      <c r="R31" s="361" t="s">
        <v>12</v>
      </c>
      <c r="S31" s="363">
        <f t="shared" ref="S31:Y31" si="43">+S30/S29*100</f>
        <v>150.59422750424446</v>
      </c>
      <c r="T31" s="363">
        <f t="shared" si="43"/>
        <v>183.37696335078536</v>
      </c>
      <c r="U31" s="363">
        <f t="shared" si="43"/>
        <v>182.62167811286952</v>
      </c>
      <c r="V31" s="363">
        <f t="shared" si="43"/>
        <v>0</v>
      </c>
      <c r="W31" s="363">
        <f t="shared" si="43"/>
        <v>11.310592459605028</v>
      </c>
      <c r="X31" s="363">
        <f t="shared" si="43"/>
        <v>0</v>
      </c>
      <c r="Y31" s="363">
        <f t="shared" si="43"/>
        <v>237.9323899371069</v>
      </c>
      <c r="Z31" s="359"/>
      <c r="AA31" s="361" t="s">
        <v>12</v>
      </c>
      <c r="AB31" s="363">
        <f t="shared" ref="AB31:AH31" si="44">+AB30/AB29*100</f>
        <v>0</v>
      </c>
      <c r="AC31" s="363">
        <f t="shared" si="44"/>
        <v>0</v>
      </c>
      <c r="AD31" s="363">
        <f t="shared" si="44"/>
        <v>0</v>
      </c>
      <c r="AE31" s="363">
        <f t="shared" si="44"/>
        <v>0</v>
      </c>
      <c r="AF31" s="363">
        <f t="shared" si="44"/>
        <v>0</v>
      </c>
      <c r="AG31" s="363" t="e">
        <f t="shared" si="44"/>
        <v>#DIV/0!</v>
      </c>
      <c r="AH31" s="363">
        <f t="shared" si="44"/>
        <v>0</v>
      </c>
      <c r="AI31" s="359"/>
      <c r="AJ31" s="361" t="s">
        <v>12</v>
      </c>
      <c r="AK31" s="363">
        <f t="shared" ref="AK31:AQ31" si="45">+AK30/AK29*100</f>
        <v>0</v>
      </c>
      <c r="AL31" s="363">
        <f t="shared" si="45"/>
        <v>0</v>
      </c>
      <c r="AM31" s="363">
        <f t="shared" si="45"/>
        <v>0</v>
      </c>
      <c r="AN31" s="363" t="e">
        <f t="shared" si="45"/>
        <v>#DIV/0!</v>
      </c>
      <c r="AO31" s="363">
        <f t="shared" si="45"/>
        <v>0</v>
      </c>
      <c r="AP31" s="363" t="e">
        <f t="shared" si="45"/>
        <v>#DIV/0!</v>
      </c>
      <c r="AQ31" s="363">
        <f t="shared" si="45"/>
        <v>0</v>
      </c>
    </row>
    <row r="32" spans="1:45">
      <c r="A32" s="361" t="s">
        <v>27</v>
      </c>
      <c r="B32" s="361">
        <f>+K32+S32+AK32</f>
        <v>3.3</v>
      </c>
      <c r="C32" s="361">
        <f>+L32+T32+AL32</f>
        <v>461</v>
      </c>
      <c r="D32" s="360">
        <f>SUM(E32:H32)</f>
        <v>397</v>
      </c>
      <c r="E32" s="361">
        <f t="shared" ref="E32:H33" si="46">+N32+V32+AN32</f>
        <v>215</v>
      </c>
      <c r="F32" s="361">
        <f t="shared" si="46"/>
        <v>29</v>
      </c>
      <c r="G32" s="361">
        <f t="shared" si="46"/>
        <v>9</v>
      </c>
      <c r="H32" s="361">
        <f t="shared" si="46"/>
        <v>144</v>
      </c>
      <c r="I32" s="359"/>
      <c r="J32" s="361" t="s">
        <v>27</v>
      </c>
      <c r="K32" s="362">
        <f>[1]Rosica!K32+[1]Sevlievo!K32</f>
        <v>0</v>
      </c>
      <c r="L32" s="363">
        <f>[1]Rosica!L32+[1]Sevlievo!L32</f>
        <v>0</v>
      </c>
      <c r="M32" s="363">
        <f>[1]Rosica!M32+[1]Sevlievo!M32</f>
        <v>0</v>
      </c>
      <c r="N32" s="363">
        <f>[1]Rosica!N32+[1]Sevlievo!N32</f>
        <v>0</v>
      </c>
      <c r="O32" s="363">
        <f>[1]Rosica!O32+[1]Sevlievo!O32</f>
        <v>0</v>
      </c>
      <c r="P32" s="363">
        <f>[1]Rosica!P32+[1]Sevlievo!P32</f>
        <v>0</v>
      </c>
      <c r="Q32" s="363">
        <f>[1]Rosica!Q32+[1]Sevlievo!Q32</f>
        <v>0</v>
      </c>
      <c r="R32" s="361" t="s">
        <v>27</v>
      </c>
      <c r="S32" s="362">
        <f>[1]Rosica!S32+[1]Sevlievo!S32</f>
        <v>3.3</v>
      </c>
      <c r="T32" s="363">
        <f>[1]Rosica!T32+[1]Sevlievo!T32</f>
        <v>461</v>
      </c>
      <c r="U32" s="363">
        <f>[1]Rosica!U32+[1]Sevlievo!U32</f>
        <v>397</v>
      </c>
      <c r="V32" s="363">
        <f>[1]Rosica!V32+[1]Sevlievo!V32</f>
        <v>215</v>
      </c>
      <c r="W32" s="363">
        <f>[1]Rosica!W32+[1]Sevlievo!W32</f>
        <v>29</v>
      </c>
      <c r="X32" s="363">
        <f>[1]Rosica!X32+[1]Sevlievo!X32</f>
        <v>9</v>
      </c>
      <c r="Y32" s="363">
        <f>[1]Rosica!Y32+[1]Sevlievo!Y32</f>
        <v>144</v>
      </c>
      <c r="Z32" s="359"/>
      <c r="AA32" s="361" t="s">
        <v>27</v>
      </c>
      <c r="AB32" s="362">
        <f>[1]Rosica!AB32+[1]Sevlievo!AB32</f>
        <v>3.2</v>
      </c>
      <c r="AC32" s="363">
        <f>[1]Rosica!AC32+[1]Sevlievo!AC32</f>
        <v>458</v>
      </c>
      <c r="AD32" s="363">
        <f>[1]Rosica!AD32+[1]Sevlievo!AD32</f>
        <v>394</v>
      </c>
      <c r="AE32" s="363">
        <f>[1]Rosica!AE32+[1]Sevlievo!AE32</f>
        <v>214</v>
      </c>
      <c r="AF32" s="363">
        <f>[1]Rosica!AF32+[1]Sevlievo!AF32</f>
        <v>29</v>
      </c>
      <c r="AG32" s="363">
        <f>[1]Rosica!AG32+[1]Sevlievo!AG32</f>
        <v>9</v>
      </c>
      <c r="AH32" s="363">
        <f>[1]Rosica!AH32+[1]Sevlievo!AH32</f>
        <v>142</v>
      </c>
      <c r="AI32" s="359"/>
      <c r="AJ32" s="361" t="s">
        <v>27</v>
      </c>
      <c r="AK32" s="362">
        <f>[1]Rosica!AK32+[1]Sevlievo!AK32</f>
        <v>0</v>
      </c>
      <c r="AL32" s="363">
        <f>[1]Rosica!AL32+[1]Sevlievo!AL32</f>
        <v>0</v>
      </c>
      <c r="AM32" s="363">
        <f>[1]Rosica!AM32+[1]Sevlievo!AM32</f>
        <v>0</v>
      </c>
      <c r="AN32" s="363">
        <f>[1]Rosica!AN32+[1]Sevlievo!AN32</f>
        <v>0</v>
      </c>
      <c r="AO32" s="363">
        <f>[1]Rosica!AO32+[1]Sevlievo!AO32</f>
        <v>0</v>
      </c>
      <c r="AP32" s="363">
        <f>[1]Rosica!AP32+[1]Sevlievo!AP32</f>
        <v>0</v>
      </c>
      <c r="AQ32" s="363">
        <f>[1]Rosica!AQ32+[1]Sevlievo!AQ32</f>
        <v>0</v>
      </c>
    </row>
    <row r="33" spans="1:43">
      <c r="A33" s="361" t="s">
        <v>28</v>
      </c>
      <c r="B33" s="361">
        <f>+K33+S33+AK33</f>
        <v>2</v>
      </c>
      <c r="C33" s="361">
        <f>+L33+T33+AL33</f>
        <v>162</v>
      </c>
      <c r="D33" s="360">
        <f>SUM(E33:H33)</f>
        <v>149</v>
      </c>
      <c r="E33" s="361">
        <f t="shared" si="46"/>
        <v>103</v>
      </c>
      <c r="F33" s="361">
        <f t="shared" si="46"/>
        <v>12</v>
      </c>
      <c r="G33" s="361">
        <f t="shared" si="46"/>
        <v>3</v>
      </c>
      <c r="H33" s="361">
        <f t="shared" si="46"/>
        <v>31</v>
      </c>
      <c r="I33" s="359"/>
      <c r="J33" s="361" t="s">
        <v>28</v>
      </c>
      <c r="K33" s="362">
        <f>[1]Rosica!K33+[1]Sevlievo!K33</f>
        <v>0</v>
      </c>
      <c r="L33" s="363">
        <f>[1]Rosica!L33+[1]Sevlievo!L33</f>
        <v>0</v>
      </c>
      <c r="M33" s="363">
        <f>[1]Rosica!M33+[1]Sevlievo!M33</f>
        <v>0</v>
      </c>
      <c r="N33" s="363">
        <f>[1]Rosica!N33+[1]Sevlievo!N33</f>
        <v>0</v>
      </c>
      <c r="O33" s="363">
        <f>[1]Rosica!O33+[1]Sevlievo!O33</f>
        <v>0</v>
      </c>
      <c r="P33" s="363">
        <f>[1]Rosica!P33+[1]Sevlievo!P33</f>
        <v>0</v>
      </c>
      <c r="Q33" s="363">
        <f>[1]Rosica!Q33+[1]Sevlievo!Q33</f>
        <v>0</v>
      </c>
      <c r="R33" s="361" t="s">
        <v>28</v>
      </c>
      <c r="S33" s="362">
        <f>[1]Rosica!S33+[1]Sevlievo!S33</f>
        <v>2</v>
      </c>
      <c r="T33" s="363">
        <f>[1]Rosica!T33+[1]Sevlievo!T33</f>
        <v>162</v>
      </c>
      <c r="U33" s="363">
        <f>[1]Rosica!U33+[1]Sevlievo!U33</f>
        <v>149</v>
      </c>
      <c r="V33" s="363">
        <f>[1]Rosica!V33+[1]Sevlievo!V33</f>
        <v>103</v>
      </c>
      <c r="W33" s="363">
        <f>[1]Rosica!W33+[1]Sevlievo!W33</f>
        <v>12</v>
      </c>
      <c r="X33" s="363">
        <f>[1]Rosica!X33+[1]Sevlievo!X33</f>
        <v>3</v>
      </c>
      <c r="Y33" s="363">
        <f>[1]Rosica!Y33+[1]Sevlievo!Y33</f>
        <v>31</v>
      </c>
      <c r="Z33" s="359"/>
      <c r="AA33" s="361" t="s">
        <v>28</v>
      </c>
      <c r="AB33" s="362">
        <f>[1]Rosica!AB33+[1]Sevlievo!AB33</f>
        <v>2</v>
      </c>
      <c r="AC33" s="363">
        <f>[1]Rosica!AC33+[1]Sevlievo!AC33</f>
        <v>162</v>
      </c>
      <c r="AD33" s="363">
        <f>[1]Rosica!AD33+[1]Sevlievo!AD33</f>
        <v>149</v>
      </c>
      <c r="AE33" s="363">
        <f>[1]Rosica!AE33+[1]Sevlievo!AE33</f>
        <v>103</v>
      </c>
      <c r="AF33" s="363">
        <f>[1]Rosica!AF33+[1]Sevlievo!AF33</f>
        <v>12</v>
      </c>
      <c r="AG33" s="363">
        <f>[1]Rosica!AG33+[1]Sevlievo!AG33</f>
        <v>3</v>
      </c>
      <c r="AH33" s="363">
        <f>[1]Rosica!AH33+[1]Sevlievo!AH33</f>
        <v>31</v>
      </c>
      <c r="AI33" s="359"/>
      <c r="AJ33" s="361" t="s">
        <v>28</v>
      </c>
      <c r="AK33" s="362">
        <f>[1]Rosica!AK33+[1]Sevlievo!AK33</f>
        <v>0</v>
      </c>
      <c r="AL33" s="363">
        <f>[1]Rosica!AL33+[1]Sevlievo!AL33</f>
        <v>0</v>
      </c>
      <c r="AM33" s="363">
        <f>[1]Rosica!AM33+[1]Sevlievo!AM33</f>
        <v>0</v>
      </c>
      <c r="AN33" s="363">
        <f>[1]Rosica!AN33+[1]Sevlievo!AN33</f>
        <v>0</v>
      </c>
      <c r="AO33" s="363">
        <f>[1]Rosica!AO33+[1]Sevlievo!AO33</f>
        <v>0</v>
      </c>
      <c r="AP33" s="363">
        <f>[1]Rosica!AP33+[1]Sevlievo!AP33</f>
        <v>0</v>
      </c>
      <c r="AQ33" s="363">
        <f>[1]Rosica!AQ33+[1]Sevlievo!AQ33</f>
        <v>0</v>
      </c>
    </row>
    <row r="34" spans="1:43">
      <c r="A34" s="361" t="s">
        <v>12</v>
      </c>
      <c r="B34" s="363">
        <f t="shared" ref="B34:H34" si="47">+B33/B32*100</f>
        <v>60.606060606060609</v>
      </c>
      <c r="C34" s="363">
        <f t="shared" si="47"/>
        <v>35.140997830802604</v>
      </c>
      <c r="D34" s="363">
        <f t="shared" si="47"/>
        <v>37.531486146095716</v>
      </c>
      <c r="E34" s="363">
        <f t="shared" si="47"/>
        <v>47.906976744186046</v>
      </c>
      <c r="F34" s="363">
        <f t="shared" si="47"/>
        <v>41.379310344827587</v>
      </c>
      <c r="G34" s="363">
        <f t="shared" si="47"/>
        <v>33.333333333333329</v>
      </c>
      <c r="H34" s="363">
        <f t="shared" si="47"/>
        <v>21.527777777777779</v>
      </c>
      <c r="I34" s="359"/>
      <c r="J34" s="361" t="s">
        <v>12</v>
      </c>
      <c r="K34" s="363" t="e">
        <f t="shared" ref="K34:Q34" si="48">+K33/K32*100</f>
        <v>#DIV/0!</v>
      </c>
      <c r="L34" s="363" t="e">
        <f t="shared" si="48"/>
        <v>#DIV/0!</v>
      </c>
      <c r="M34" s="363" t="e">
        <f t="shared" si="48"/>
        <v>#DIV/0!</v>
      </c>
      <c r="N34" s="363" t="e">
        <f t="shared" si="48"/>
        <v>#DIV/0!</v>
      </c>
      <c r="O34" s="363" t="e">
        <f t="shared" si="48"/>
        <v>#DIV/0!</v>
      </c>
      <c r="P34" s="363" t="e">
        <f t="shared" si="48"/>
        <v>#DIV/0!</v>
      </c>
      <c r="Q34" s="363" t="e">
        <f t="shared" si="48"/>
        <v>#DIV/0!</v>
      </c>
      <c r="R34" s="361" t="s">
        <v>12</v>
      </c>
      <c r="S34" s="363">
        <f t="shared" ref="S34:Y34" si="49">+S33/S32*100</f>
        <v>60.606060606060609</v>
      </c>
      <c r="T34" s="363">
        <f t="shared" si="49"/>
        <v>35.140997830802604</v>
      </c>
      <c r="U34" s="363">
        <f t="shared" si="49"/>
        <v>37.531486146095716</v>
      </c>
      <c r="V34" s="363">
        <f t="shared" si="49"/>
        <v>47.906976744186046</v>
      </c>
      <c r="W34" s="363">
        <f t="shared" si="49"/>
        <v>41.379310344827587</v>
      </c>
      <c r="X34" s="363">
        <f t="shared" si="49"/>
        <v>33.333333333333329</v>
      </c>
      <c r="Y34" s="363">
        <f t="shared" si="49"/>
        <v>21.527777777777779</v>
      </c>
      <c r="Z34" s="359"/>
      <c r="AA34" s="361" t="s">
        <v>12</v>
      </c>
      <c r="AB34" s="363">
        <f t="shared" ref="AB34:AH34" si="50">+AB33/AB32*100</f>
        <v>62.5</v>
      </c>
      <c r="AC34" s="363">
        <f t="shared" si="50"/>
        <v>35.37117903930131</v>
      </c>
      <c r="AD34" s="363">
        <f t="shared" si="50"/>
        <v>37.817258883248734</v>
      </c>
      <c r="AE34" s="363">
        <f t="shared" si="50"/>
        <v>48.13084112149533</v>
      </c>
      <c r="AF34" s="363">
        <f t="shared" si="50"/>
        <v>41.379310344827587</v>
      </c>
      <c r="AG34" s="363">
        <f t="shared" si="50"/>
        <v>33.333333333333329</v>
      </c>
      <c r="AH34" s="363">
        <f t="shared" si="50"/>
        <v>21.830985915492956</v>
      </c>
      <c r="AI34" s="359"/>
      <c r="AJ34" s="361" t="s">
        <v>12</v>
      </c>
      <c r="AK34" s="363" t="e">
        <f t="shared" ref="AK34:AQ34" si="51">+AK33/AK32*100</f>
        <v>#DIV/0!</v>
      </c>
      <c r="AL34" s="363" t="e">
        <f t="shared" si="51"/>
        <v>#DIV/0!</v>
      </c>
      <c r="AM34" s="363" t="e">
        <f t="shared" si="51"/>
        <v>#DIV/0!</v>
      </c>
      <c r="AN34" s="363" t="e">
        <f t="shared" si="51"/>
        <v>#DIV/0!</v>
      </c>
      <c r="AO34" s="363" t="e">
        <f t="shared" si="51"/>
        <v>#DIV/0!</v>
      </c>
      <c r="AP34" s="363" t="e">
        <f t="shared" si="51"/>
        <v>#DIV/0!</v>
      </c>
      <c r="AQ34" s="363" t="e">
        <f t="shared" si="51"/>
        <v>#DIV/0!</v>
      </c>
    </row>
    <row r="35" spans="1:43">
      <c r="A35" s="361" t="s">
        <v>29</v>
      </c>
      <c r="B35" s="361">
        <f>+K35+S35+AK35</f>
        <v>103.2</v>
      </c>
      <c r="C35" s="361">
        <f>+L35+T35+AL35</f>
        <v>7148</v>
      </c>
      <c r="D35" s="360">
        <f>SUM(E35:H35)</f>
        <v>6474</v>
      </c>
      <c r="E35" s="361">
        <f t="shared" ref="E35:H36" si="52">+N35+V35+AN35</f>
        <v>58</v>
      </c>
      <c r="F35" s="361">
        <f t="shared" si="52"/>
        <v>1470</v>
      </c>
      <c r="G35" s="361">
        <f t="shared" si="52"/>
        <v>486</v>
      </c>
      <c r="H35" s="361">
        <f t="shared" si="52"/>
        <v>4460</v>
      </c>
      <c r="I35" s="359"/>
      <c r="J35" s="361" t="s">
        <v>29</v>
      </c>
      <c r="K35" s="362">
        <f>[1]Rosica!K35+[1]Sevlievo!K35</f>
        <v>4.1999999999999993</v>
      </c>
      <c r="L35" s="363">
        <f>[1]Rosica!L35+[1]Sevlievo!L35</f>
        <v>308</v>
      </c>
      <c r="M35" s="363">
        <f>[1]Rosica!M35+[1]Sevlievo!M35</f>
        <v>258</v>
      </c>
      <c r="N35" s="363">
        <f>[1]Rosica!N35+[1]Sevlievo!N35</f>
        <v>0</v>
      </c>
      <c r="O35" s="363">
        <f>[1]Rosica!O35+[1]Sevlievo!O35</f>
        <v>47</v>
      </c>
      <c r="P35" s="363">
        <f>[1]Rosica!P35+[1]Sevlievo!P35</f>
        <v>38</v>
      </c>
      <c r="Q35" s="363">
        <f>[1]Rosica!Q35+[1]Sevlievo!Q35</f>
        <v>173</v>
      </c>
      <c r="R35" s="361" t="s">
        <v>29</v>
      </c>
      <c r="S35" s="362">
        <f>[1]Rosica!S35+[1]Sevlievo!S35</f>
        <v>98.7</v>
      </c>
      <c r="T35" s="363">
        <f>[1]Rosica!T35+[1]Sevlievo!T35</f>
        <v>6832</v>
      </c>
      <c r="U35" s="363">
        <f>[1]Rosica!U35+[1]Sevlievo!U35</f>
        <v>6210</v>
      </c>
      <c r="V35" s="363">
        <f>[1]Rosica!V35+[1]Sevlievo!V35</f>
        <v>58</v>
      </c>
      <c r="W35" s="363">
        <f>[1]Rosica!W35+[1]Sevlievo!W35</f>
        <v>1423</v>
      </c>
      <c r="X35" s="363">
        <f>[1]Rosica!X35+[1]Sevlievo!X35</f>
        <v>448</v>
      </c>
      <c r="Y35" s="363">
        <f>[1]Rosica!Y35+[1]Sevlievo!Y35</f>
        <v>4281</v>
      </c>
      <c r="Z35" s="359"/>
      <c r="AA35" s="361" t="s">
        <v>29</v>
      </c>
      <c r="AB35" s="362">
        <f>[1]Rosica!AB35+[1]Sevlievo!AB35</f>
        <v>0.4</v>
      </c>
      <c r="AC35" s="363">
        <f>[1]Rosica!AC35+[1]Sevlievo!AC35</f>
        <v>6</v>
      </c>
      <c r="AD35" s="363">
        <f>[1]Rosica!AD35+[1]Sevlievo!AD35</f>
        <v>7</v>
      </c>
      <c r="AE35" s="363">
        <f>[1]Rosica!AE35+[1]Sevlievo!AE35</f>
        <v>0</v>
      </c>
      <c r="AF35" s="363">
        <f>[1]Rosica!AF35+[1]Sevlievo!AF35</f>
        <v>2</v>
      </c>
      <c r="AG35" s="363">
        <f>[1]Rosica!AG35+[1]Sevlievo!AG35</f>
        <v>0</v>
      </c>
      <c r="AH35" s="363">
        <f>[1]Rosica!AH35+[1]Sevlievo!AH35</f>
        <v>5</v>
      </c>
      <c r="AI35" s="359"/>
      <c r="AJ35" s="361" t="s">
        <v>29</v>
      </c>
      <c r="AK35" s="362">
        <f>[1]Rosica!AK35+[1]Sevlievo!AK35</f>
        <v>0.3</v>
      </c>
      <c r="AL35" s="363">
        <f>[1]Rosica!AL35+[1]Sevlievo!AL35</f>
        <v>8</v>
      </c>
      <c r="AM35" s="363">
        <f>[1]Rosica!AM35+[1]Sevlievo!AM35</f>
        <v>6</v>
      </c>
      <c r="AN35" s="363">
        <f>[1]Rosica!AN35+[1]Sevlievo!AN35</f>
        <v>0</v>
      </c>
      <c r="AO35" s="363">
        <f>[1]Rosica!AO35+[1]Sevlievo!AO35</f>
        <v>0</v>
      </c>
      <c r="AP35" s="363">
        <f>[1]Rosica!AP35+[1]Sevlievo!AP35</f>
        <v>0</v>
      </c>
      <c r="AQ35" s="363">
        <f>[1]Rosica!AQ35+[1]Sevlievo!AQ35</f>
        <v>6</v>
      </c>
    </row>
    <row r="36" spans="1:43">
      <c r="A36" s="361" t="s">
        <v>30</v>
      </c>
      <c r="B36" s="361">
        <f>+K36+S36+AK36</f>
        <v>40.799999999999997</v>
      </c>
      <c r="C36" s="361">
        <f>+L36+T36+AL36</f>
        <v>2736</v>
      </c>
      <c r="D36" s="360">
        <f>SUM(E36:H36)</f>
        <v>2368</v>
      </c>
      <c r="E36" s="361">
        <f t="shared" si="52"/>
        <v>0</v>
      </c>
      <c r="F36" s="361">
        <f t="shared" si="52"/>
        <v>205</v>
      </c>
      <c r="G36" s="361">
        <f t="shared" si="52"/>
        <v>46</v>
      </c>
      <c r="H36" s="361">
        <f t="shared" si="52"/>
        <v>2117</v>
      </c>
      <c r="I36" s="359"/>
      <c r="J36" s="361" t="s">
        <v>30</v>
      </c>
      <c r="K36" s="362">
        <f>[1]Rosica!K36+[1]Sevlievo!K36</f>
        <v>0</v>
      </c>
      <c r="L36" s="363">
        <f>[1]Rosica!L36+[1]Sevlievo!L36</f>
        <v>3</v>
      </c>
      <c r="M36" s="363">
        <f>[1]Rosica!M36+[1]Sevlievo!M36</f>
        <v>3</v>
      </c>
      <c r="N36" s="363">
        <f>[1]Rosica!N36+[1]Sevlievo!N36</f>
        <v>0</v>
      </c>
      <c r="O36" s="363">
        <f>[1]Rosica!O36+[1]Sevlievo!O36</f>
        <v>0</v>
      </c>
      <c r="P36" s="363">
        <f>[1]Rosica!P36+[1]Sevlievo!P36</f>
        <v>0</v>
      </c>
      <c r="Q36" s="363">
        <f>[1]Rosica!Q36+[1]Sevlievo!Q36</f>
        <v>3</v>
      </c>
      <c r="R36" s="361" t="s">
        <v>30</v>
      </c>
      <c r="S36" s="362">
        <f>[1]Rosica!S36+[1]Sevlievo!S36</f>
        <v>40.799999999999997</v>
      </c>
      <c r="T36" s="363">
        <f>[1]Rosica!T36+[1]Sevlievo!T36</f>
        <v>2733</v>
      </c>
      <c r="U36" s="363">
        <f>[1]Rosica!U36+[1]Sevlievo!U36</f>
        <v>2365</v>
      </c>
      <c r="V36" s="363">
        <f>[1]Rosica!V36+[1]Sevlievo!V36</f>
        <v>0</v>
      </c>
      <c r="W36" s="363">
        <f>[1]Rosica!W36+[1]Sevlievo!W36</f>
        <v>205</v>
      </c>
      <c r="X36" s="363">
        <f>[1]Rosica!X36+[1]Sevlievo!X36</f>
        <v>46</v>
      </c>
      <c r="Y36" s="363">
        <f>[1]Rosica!Y36+[1]Sevlievo!Y36</f>
        <v>2114</v>
      </c>
      <c r="Z36" s="359"/>
      <c r="AA36" s="361" t="s">
        <v>30</v>
      </c>
      <c r="AB36" s="362">
        <f>[1]Rosica!AB36+[1]Sevlievo!AB36</f>
        <v>0</v>
      </c>
      <c r="AC36" s="363">
        <f>[1]Rosica!AC36+[1]Sevlievo!AC36</f>
        <v>0</v>
      </c>
      <c r="AD36" s="363">
        <f>[1]Rosica!AD36+[1]Sevlievo!AD36</f>
        <v>0</v>
      </c>
      <c r="AE36" s="363">
        <f>[1]Rosica!AE36+[1]Sevlievo!AE36</f>
        <v>0</v>
      </c>
      <c r="AF36" s="363">
        <f>[1]Rosica!AF36+[1]Sevlievo!AF36</f>
        <v>0</v>
      </c>
      <c r="AG36" s="363">
        <f>[1]Rosica!AG36+[1]Sevlievo!AG36</f>
        <v>0</v>
      </c>
      <c r="AH36" s="363">
        <f>[1]Rosica!AH36+[1]Sevlievo!AH36</f>
        <v>0</v>
      </c>
      <c r="AI36" s="359"/>
      <c r="AJ36" s="361" t="s">
        <v>30</v>
      </c>
      <c r="AK36" s="362">
        <f>[1]Rosica!AK36+[1]Sevlievo!AK36</f>
        <v>0</v>
      </c>
      <c r="AL36" s="363">
        <f>[1]Rosica!AL36+[1]Sevlievo!AL36</f>
        <v>0</v>
      </c>
      <c r="AM36" s="363">
        <f>[1]Rosica!AM36+[1]Sevlievo!AM36</f>
        <v>0</v>
      </c>
      <c r="AN36" s="363">
        <f>[1]Rosica!AN36+[1]Sevlievo!AN36</f>
        <v>0</v>
      </c>
      <c r="AO36" s="363">
        <f>[1]Rosica!AO36+[1]Sevlievo!AO36</f>
        <v>0</v>
      </c>
      <c r="AP36" s="363">
        <f>[1]Rosica!AP36+[1]Sevlievo!AP36</f>
        <v>0</v>
      </c>
      <c r="AQ36" s="363">
        <f>[1]Rosica!AQ36+[1]Sevlievo!AQ36</f>
        <v>0</v>
      </c>
    </row>
    <row r="37" spans="1:43">
      <c r="A37" s="361" t="s">
        <v>12</v>
      </c>
      <c r="B37" s="363">
        <f t="shared" ref="B37:H37" si="53">+B36/B35*100</f>
        <v>39.534883720930232</v>
      </c>
      <c r="C37" s="363">
        <f t="shared" si="53"/>
        <v>38.276440962506996</v>
      </c>
      <c r="D37" s="363">
        <f t="shared" si="53"/>
        <v>36.577077540932962</v>
      </c>
      <c r="E37" s="363">
        <f t="shared" si="53"/>
        <v>0</v>
      </c>
      <c r="F37" s="363">
        <f t="shared" si="53"/>
        <v>13.945578231292515</v>
      </c>
      <c r="G37" s="363">
        <f t="shared" si="53"/>
        <v>9.4650205761316872</v>
      </c>
      <c r="H37" s="363">
        <f t="shared" si="53"/>
        <v>47.466367713004487</v>
      </c>
      <c r="I37" s="359"/>
      <c r="J37" s="361" t="s">
        <v>12</v>
      </c>
      <c r="K37" s="363">
        <f t="shared" ref="K37:Q37" si="54">+K36/K35*100</f>
        <v>0</v>
      </c>
      <c r="L37" s="363">
        <f t="shared" si="54"/>
        <v>0.97402597402597402</v>
      </c>
      <c r="M37" s="363">
        <f t="shared" si="54"/>
        <v>1.1627906976744187</v>
      </c>
      <c r="N37" s="363" t="e">
        <f t="shared" si="54"/>
        <v>#DIV/0!</v>
      </c>
      <c r="O37" s="363">
        <f t="shared" si="54"/>
        <v>0</v>
      </c>
      <c r="P37" s="363">
        <f t="shared" si="54"/>
        <v>0</v>
      </c>
      <c r="Q37" s="363">
        <f t="shared" si="54"/>
        <v>1.7341040462427744</v>
      </c>
      <c r="R37" s="361" t="s">
        <v>12</v>
      </c>
      <c r="S37" s="363">
        <f t="shared" ref="S37:Y37" si="55">+S36/S35*100</f>
        <v>41.337386018237076</v>
      </c>
      <c r="T37" s="363">
        <f t="shared" si="55"/>
        <v>40.002927400468387</v>
      </c>
      <c r="U37" s="363">
        <f t="shared" si="55"/>
        <v>38.08373590982287</v>
      </c>
      <c r="V37" s="363">
        <f t="shared" si="55"/>
        <v>0</v>
      </c>
      <c r="W37" s="363">
        <f t="shared" si="55"/>
        <v>14.406184118060436</v>
      </c>
      <c r="X37" s="363">
        <f t="shared" si="55"/>
        <v>10.267857142857142</v>
      </c>
      <c r="Y37" s="363">
        <f t="shared" si="55"/>
        <v>49.380985750992757</v>
      </c>
      <c r="Z37" s="359"/>
      <c r="AA37" s="361" t="s">
        <v>12</v>
      </c>
      <c r="AB37" s="363">
        <f t="shared" ref="AB37:AH37" si="56">+AB36/AB35*100</f>
        <v>0</v>
      </c>
      <c r="AC37" s="363">
        <f t="shared" si="56"/>
        <v>0</v>
      </c>
      <c r="AD37" s="363">
        <f t="shared" si="56"/>
        <v>0</v>
      </c>
      <c r="AE37" s="363" t="e">
        <f t="shared" si="56"/>
        <v>#DIV/0!</v>
      </c>
      <c r="AF37" s="363">
        <f t="shared" si="56"/>
        <v>0</v>
      </c>
      <c r="AG37" s="363" t="e">
        <f t="shared" si="56"/>
        <v>#DIV/0!</v>
      </c>
      <c r="AH37" s="363">
        <f t="shared" si="56"/>
        <v>0</v>
      </c>
      <c r="AI37" s="359"/>
      <c r="AJ37" s="361" t="s">
        <v>12</v>
      </c>
      <c r="AK37" s="363">
        <f t="shared" ref="AK37:AQ37" si="57">+AK36/AK35*100</f>
        <v>0</v>
      </c>
      <c r="AL37" s="363">
        <f t="shared" si="57"/>
        <v>0</v>
      </c>
      <c r="AM37" s="363">
        <f t="shared" si="57"/>
        <v>0</v>
      </c>
      <c r="AN37" s="363" t="e">
        <f t="shared" si="57"/>
        <v>#DIV/0!</v>
      </c>
      <c r="AO37" s="363" t="e">
        <f t="shared" si="57"/>
        <v>#DIV/0!</v>
      </c>
      <c r="AP37" s="363" t="e">
        <f t="shared" si="57"/>
        <v>#DIV/0!</v>
      </c>
      <c r="AQ37" s="363">
        <f t="shared" si="57"/>
        <v>0</v>
      </c>
    </row>
    <row r="38" spans="1:43">
      <c r="A38" s="361" t="s">
        <v>31</v>
      </c>
      <c r="B38" s="361">
        <f>+K38+S38+AK38</f>
        <v>124.19999999999999</v>
      </c>
      <c r="C38" s="361">
        <f>+L38+T38+AL38</f>
        <v>4464</v>
      </c>
      <c r="D38" s="360">
        <f>SUM(E38:H38)</f>
        <v>3636</v>
      </c>
      <c r="E38" s="361">
        <f t="shared" ref="E38:H39" si="58">+N38+V38+AN38</f>
        <v>116</v>
      </c>
      <c r="F38" s="361">
        <f t="shared" si="58"/>
        <v>883</v>
      </c>
      <c r="G38" s="361">
        <f t="shared" si="58"/>
        <v>161</v>
      </c>
      <c r="H38" s="361">
        <f t="shared" si="58"/>
        <v>2476</v>
      </c>
      <c r="I38" s="359"/>
      <c r="J38" s="361" t="s">
        <v>31</v>
      </c>
      <c r="K38" s="362">
        <f>[1]Rosica!K38+[1]Sevlievo!K38</f>
        <v>82.7</v>
      </c>
      <c r="L38" s="363">
        <f>[1]Rosica!L38+[1]Sevlievo!L38</f>
        <v>3244</v>
      </c>
      <c r="M38" s="363">
        <f>[1]Rosica!M38+[1]Sevlievo!M38</f>
        <v>2697</v>
      </c>
      <c r="N38" s="363">
        <f>[1]Rosica!N38+[1]Sevlievo!N38</f>
        <v>76</v>
      </c>
      <c r="O38" s="363">
        <f>[1]Rosica!O38+[1]Sevlievo!O38</f>
        <v>718</v>
      </c>
      <c r="P38" s="363">
        <f>[1]Rosica!P38+[1]Sevlievo!P38</f>
        <v>132</v>
      </c>
      <c r="Q38" s="363">
        <f>[1]Rosica!Q38+[1]Sevlievo!Q38</f>
        <v>1771</v>
      </c>
      <c r="R38" s="361" t="s">
        <v>31</v>
      </c>
      <c r="S38" s="362">
        <f>[1]Rosica!S38+[1]Sevlievo!S38</f>
        <v>39.9</v>
      </c>
      <c r="T38" s="363">
        <f>[1]Rosica!T38+[1]Sevlievo!T38</f>
        <v>1208</v>
      </c>
      <c r="U38" s="363">
        <f>[1]Rosica!U38+[1]Sevlievo!U38</f>
        <v>928</v>
      </c>
      <c r="V38" s="363">
        <f>[1]Rosica!V38+[1]Sevlievo!V38</f>
        <v>40</v>
      </c>
      <c r="W38" s="363">
        <f>[1]Rosica!W38+[1]Sevlievo!W38</f>
        <v>165</v>
      </c>
      <c r="X38" s="363">
        <f>[1]Rosica!X38+[1]Sevlievo!X38</f>
        <v>27</v>
      </c>
      <c r="Y38" s="363">
        <f>[1]Rosica!Y38+[1]Sevlievo!Y38</f>
        <v>696</v>
      </c>
      <c r="Z38" s="359"/>
      <c r="AA38" s="361" t="s">
        <v>31</v>
      </c>
      <c r="AB38" s="362">
        <f>[1]Rosica!AB38+[1]Sevlievo!AB38</f>
        <v>3.5999999999999996</v>
      </c>
      <c r="AC38" s="363">
        <f>[1]Rosica!AC38+[1]Sevlievo!AC38</f>
        <v>328</v>
      </c>
      <c r="AD38" s="363">
        <f>[1]Rosica!AD38+[1]Sevlievo!AD38</f>
        <v>255</v>
      </c>
      <c r="AE38" s="363">
        <f>[1]Rosica!AE38+[1]Sevlievo!AE38</f>
        <v>21</v>
      </c>
      <c r="AF38" s="363">
        <f>[1]Rosica!AF38+[1]Sevlievo!AF38</f>
        <v>49</v>
      </c>
      <c r="AG38" s="363">
        <f>[1]Rosica!AG38+[1]Sevlievo!AG38</f>
        <v>6</v>
      </c>
      <c r="AH38" s="363">
        <f>[1]Rosica!AH38+[1]Sevlievo!AH38</f>
        <v>179</v>
      </c>
      <c r="AI38" s="359"/>
      <c r="AJ38" s="361" t="s">
        <v>31</v>
      </c>
      <c r="AK38" s="362">
        <f>[1]Rosica!AK38+[1]Sevlievo!AK38</f>
        <v>1.6</v>
      </c>
      <c r="AL38" s="363">
        <f>[1]Rosica!AL38+[1]Sevlievo!AL38</f>
        <v>12</v>
      </c>
      <c r="AM38" s="363">
        <f>[1]Rosica!AM38+[1]Sevlievo!AM38</f>
        <v>11</v>
      </c>
      <c r="AN38" s="363">
        <f>[1]Rosica!AN38+[1]Sevlievo!AN38</f>
        <v>0</v>
      </c>
      <c r="AO38" s="363">
        <f>[1]Rosica!AO38+[1]Sevlievo!AO38</f>
        <v>0</v>
      </c>
      <c r="AP38" s="363">
        <f>[1]Rosica!AP38+[1]Sevlievo!AP38</f>
        <v>2</v>
      </c>
      <c r="AQ38" s="363">
        <f>[1]Rosica!AQ38+[1]Sevlievo!AQ38</f>
        <v>9</v>
      </c>
    </row>
    <row r="39" spans="1:43">
      <c r="A39" s="361" t="s">
        <v>32</v>
      </c>
      <c r="B39" s="361">
        <f>+K39+S39+AK39</f>
        <v>41.6</v>
      </c>
      <c r="C39" s="361">
        <f>+L39+T39+AL39</f>
        <v>2192</v>
      </c>
      <c r="D39" s="360">
        <f>SUM(E39:H39)</f>
        <v>1864</v>
      </c>
      <c r="E39" s="361">
        <f t="shared" si="58"/>
        <v>27</v>
      </c>
      <c r="F39" s="361">
        <f t="shared" si="58"/>
        <v>29</v>
      </c>
      <c r="G39" s="361">
        <f t="shared" si="58"/>
        <v>3</v>
      </c>
      <c r="H39" s="361">
        <f t="shared" si="58"/>
        <v>1805</v>
      </c>
      <c r="I39" s="359"/>
      <c r="J39" s="361" t="s">
        <v>32</v>
      </c>
      <c r="K39" s="362">
        <f>[1]Rosica!K39+[1]Sevlievo!K39</f>
        <v>41.6</v>
      </c>
      <c r="L39" s="363">
        <f>[1]Rosica!L39+[1]Sevlievo!L39</f>
        <v>1585</v>
      </c>
      <c r="M39" s="363">
        <f>[1]Rosica!M39+[1]Sevlievo!M39</f>
        <v>1329</v>
      </c>
      <c r="N39" s="363">
        <f>[1]Rosica!N39+[1]Sevlievo!N39</f>
        <v>18</v>
      </c>
      <c r="O39" s="363">
        <f>[1]Rosica!O39+[1]Sevlievo!O39</f>
        <v>28</v>
      </c>
      <c r="P39" s="363">
        <f>[1]Rosica!P39+[1]Sevlievo!P39</f>
        <v>3</v>
      </c>
      <c r="Q39" s="363">
        <f>[1]Rosica!Q39+[1]Sevlievo!Q39</f>
        <v>1280</v>
      </c>
      <c r="R39" s="361" t="s">
        <v>32</v>
      </c>
      <c r="S39" s="362">
        <f>[1]Rosica!S39+[1]Sevlievo!S39</f>
        <v>0</v>
      </c>
      <c r="T39" s="363">
        <f>[1]Rosica!T39+[1]Sevlievo!T39</f>
        <v>598</v>
      </c>
      <c r="U39" s="363">
        <f>[1]Rosica!U39+[1]Sevlievo!U39</f>
        <v>526</v>
      </c>
      <c r="V39" s="363">
        <f>[1]Rosica!V39+[1]Sevlievo!V39</f>
        <v>5</v>
      </c>
      <c r="W39" s="363">
        <f>[1]Rosica!W39+[1]Sevlievo!W39</f>
        <v>1</v>
      </c>
      <c r="X39" s="363">
        <f>[1]Rosica!X39+[1]Sevlievo!X39</f>
        <v>0</v>
      </c>
      <c r="Y39" s="363">
        <f>[1]Rosica!Y39+[1]Sevlievo!Y39</f>
        <v>520</v>
      </c>
      <c r="Z39" s="359"/>
      <c r="AA39" s="361" t="s">
        <v>32</v>
      </c>
      <c r="AB39" s="362">
        <f>[1]Rosica!AB39+[1]Sevlievo!AB39</f>
        <v>0</v>
      </c>
      <c r="AC39" s="363">
        <f>[1]Rosica!AC39+[1]Sevlievo!AC39</f>
        <v>0</v>
      </c>
      <c r="AD39" s="363">
        <f>[1]Rosica!AD39+[1]Sevlievo!AD39</f>
        <v>0</v>
      </c>
      <c r="AE39" s="363">
        <f>[1]Rosica!AE39+[1]Sevlievo!AE39</f>
        <v>0</v>
      </c>
      <c r="AF39" s="363">
        <f>[1]Rosica!AF39+[1]Sevlievo!AF39</f>
        <v>0</v>
      </c>
      <c r="AG39" s="363">
        <f>[1]Rosica!AG39+[1]Sevlievo!AG39</f>
        <v>0</v>
      </c>
      <c r="AH39" s="363">
        <f>[1]Rosica!AH39+[1]Sevlievo!AH39</f>
        <v>0</v>
      </c>
      <c r="AI39" s="359"/>
      <c r="AJ39" s="361" t="s">
        <v>32</v>
      </c>
      <c r="AK39" s="362">
        <f>[1]Rosica!AK39+[1]Sevlievo!AK39</f>
        <v>0</v>
      </c>
      <c r="AL39" s="363">
        <f>[1]Rosica!AL39+[1]Sevlievo!AL39</f>
        <v>9</v>
      </c>
      <c r="AM39" s="363">
        <f>[1]Rosica!AM39+[1]Sevlievo!AM39</f>
        <v>9</v>
      </c>
      <c r="AN39" s="363">
        <f>[1]Rosica!AN39+[1]Sevlievo!AN39</f>
        <v>4</v>
      </c>
      <c r="AO39" s="363">
        <f>[1]Rosica!AO39+[1]Sevlievo!AO39</f>
        <v>0</v>
      </c>
      <c r="AP39" s="363">
        <f>[1]Rosica!AP39+[1]Sevlievo!AP39</f>
        <v>0</v>
      </c>
      <c r="AQ39" s="363">
        <f>[1]Rosica!AQ39+[1]Sevlievo!AQ39</f>
        <v>5</v>
      </c>
    </row>
    <row r="40" spans="1:43">
      <c r="A40" s="361" t="s">
        <v>12</v>
      </c>
      <c r="B40" s="363">
        <f t="shared" ref="B40:H40" si="59">+B39/B38*100</f>
        <v>33.494363929146544</v>
      </c>
      <c r="C40" s="363">
        <f t="shared" si="59"/>
        <v>49.103942652329749</v>
      </c>
      <c r="D40" s="363">
        <f t="shared" si="59"/>
        <v>51.265126512651257</v>
      </c>
      <c r="E40" s="363">
        <f t="shared" si="59"/>
        <v>23.275862068965516</v>
      </c>
      <c r="F40" s="363">
        <f t="shared" si="59"/>
        <v>3.2842582106455263</v>
      </c>
      <c r="G40" s="363">
        <f t="shared" si="59"/>
        <v>1.8633540372670807</v>
      </c>
      <c r="H40" s="363">
        <f t="shared" si="59"/>
        <v>72.899838449111471</v>
      </c>
      <c r="I40" s="359"/>
      <c r="J40" s="361" t="s">
        <v>12</v>
      </c>
      <c r="K40" s="363">
        <f t="shared" ref="K40:Q40" si="60">+K39/K38*100</f>
        <v>50.302297460701325</v>
      </c>
      <c r="L40" s="363">
        <f t="shared" si="60"/>
        <v>48.859432799013561</v>
      </c>
      <c r="M40" s="363">
        <f t="shared" si="60"/>
        <v>49.276974416017801</v>
      </c>
      <c r="N40" s="363">
        <f t="shared" si="60"/>
        <v>23.684210526315788</v>
      </c>
      <c r="O40" s="363">
        <f t="shared" si="60"/>
        <v>3.8997214484679668</v>
      </c>
      <c r="P40" s="363">
        <f t="shared" si="60"/>
        <v>2.2727272727272729</v>
      </c>
      <c r="Q40" s="363">
        <f t="shared" si="60"/>
        <v>72.275550536420099</v>
      </c>
      <c r="R40" s="361" t="s">
        <v>12</v>
      </c>
      <c r="S40" s="363">
        <f t="shared" ref="S40:Y40" si="61">+S39/S38*100</f>
        <v>0</v>
      </c>
      <c r="T40" s="363">
        <f t="shared" si="61"/>
        <v>49.503311258278146</v>
      </c>
      <c r="U40" s="363">
        <f t="shared" si="61"/>
        <v>56.681034482758619</v>
      </c>
      <c r="V40" s="363">
        <f t="shared" si="61"/>
        <v>12.5</v>
      </c>
      <c r="W40" s="363">
        <f t="shared" si="61"/>
        <v>0.60606060606060608</v>
      </c>
      <c r="X40" s="363">
        <f t="shared" si="61"/>
        <v>0</v>
      </c>
      <c r="Y40" s="363">
        <f t="shared" si="61"/>
        <v>74.712643678160916</v>
      </c>
      <c r="Z40" s="359"/>
      <c r="AA40" s="361" t="s">
        <v>12</v>
      </c>
      <c r="AB40" s="363">
        <f t="shared" ref="AB40:AH40" si="62">+AB39/AB38*100</f>
        <v>0</v>
      </c>
      <c r="AC40" s="363">
        <f t="shared" si="62"/>
        <v>0</v>
      </c>
      <c r="AD40" s="363">
        <f t="shared" si="62"/>
        <v>0</v>
      </c>
      <c r="AE40" s="363">
        <f t="shared" si="62"/>
        <v>0</v>
      </c>
      <c r="AF40" s="363">
        <f t="shared" si="62"/>
        <v>0</v>
      </c>
      <c r="AG40" s="363">
        <f t="shared" si="62"/>
        <v>0</v>
      </c>
      <c r="AH40" s="363">
        <f t="shared" si="62"/>
        <v>0</v>
      </c>
      <c r="AI40" s="359"/>
      <c r="AJ40" s="361" t="s">
        <v>12</v>
      </c>
      <c r="AK40" s="363">
        <f t="shared" ref="AK40:AQ40" si="63">+AK39/AK38*100</f>
        <v>0</v>
      </c>
      <c r="AL40" s="363">
        <f t="shared" si="63"/>
        <v>75</v>
      </c>
      <c r="AM40" s="363">
        <f t="shared" si="63"/>
        <v>81.818181818181827</v>
      </c>
      <c r="AN40" s="363" t="e">
        <f t="shared" si="63"/>
        <v>#DIV/0!</v>
      </c>
      <c r="AO40" s="363" t="e">
        <f t="shared" si="63"/>
        <v>#DIV/0!</v>
      </c>
      <c r="AP40" s="363">
        <f t="shared" si="63"/>
        <v>0</v>
      </c>
      <c r="AQ40" s="363">
        <f t="shared" si="63"/>
        <v>55.555555555555557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  <c r="K43" s="25"/>
      <c r="L43" s="25"/>
      <c r="M43" s="25"/>
      <c r="N43" s="25"/>
      <c r="O43" s="25"/>
      <c r="P43" s="25"/>
      <c r="Q43" s="25"/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64">K9+S9+AK9</f>
        <v>1159.2</v>
      </c>
      <c r="C46" s="83">
        <f t="shared" si="64"/>
        <v>67092</v>
      </c>
      <c r="D46" s="83">
        <f t="shared" si="64"/>
        <v>55453</v>
      </c>
      <c r="E46" s="83">
        <f t="shared" si="64"/>
        <v>12493</v>
      </c>
      <c r="F46" s="83">
        <f t="shared" si="64"/>
        <v>10502</v>
      </c>
      <c r="G46" s="83">
        <f t="shared" si="64"/>
        <v>1702</v>
      </c>
      <c r="H46" s="83">
        <f t="shared" si="64"/>
        <v>30756</v>
      </c>
    </row>
    <row r="47" spans="1:43">
      <c r="A47" s="84" t="s">
        <v>50</v>
      </c>
      <c r="B47" s="83">
        <f t="shared" si="64"/>
        <v>740.87199999999996</v>
      </c>
      <c r="C47" s="83">
        <f t="shared" si="64"/>
        <v>48355</v>
      </c>
      <c r="D47" s="83">
        <f t="shared" si="64"/>
        <v>41580</v>
      </c>
      <c r="E47" s="83">
        <f t="shared" si="64"/>
        <v>9650</v>
      </c>
      <c r="F47" s="83">
        <f t="shared" si="64"/>
        <v>2801</v>
      </c>
      <c r="G47" s="83">
        <f t="shared" si="64"/>
        <v>430</v>
      </c>
      <c r="H47" s="83">
        <f t="shared" si="64"/>
        <v>28699</v>
      </c>
    </row>
    <row r="48" spans="1:43">
      <c r="A48" s="85" t="s">
        <v>44</v>
      </c>
      <c r="B48" s="86">
        <f>B47/B46*100</f>
        <v>63.912353347135955</v>
      </c>
      <c r="C48" s="86">
        <f t="shared" ref="C48:H48" si="65">C47/C46*100</f>
        <v>72.072676325046203</v>
      </c>
      <c r="D48" s="86">
        <f t="shared" si="65"/>
        <v>74.982417542783978</v>
      </c>
      <c r="E48" s="86">
        <f t="shared" si="65"/>
        <v>77.243256223485162</v>
      </c>
      <c r="F48" s="86">
        <f t="shared" si="65"/>
        <v>26.671110264711483</v>
      </c>
      <c r="G48" s="86">
        <f t="shared" si="65"/>
        <v>25.264394829612218</v>
      </c>
      <c r="H48" s="86">
        <f t="shared" si="65"/>
        <v>93.311874105865527</v>
      </c>
    </row>
    <row r="49" spans="1:17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17">
      <c r="A50" s="75" t="s">
        <v>40</v>
      </c>
      <c r="B50" s="90">
        <f t="shared" ref="B50:H51" si="66">K13+S13+AK13</f>
        <v>180.2</v>
      </c>
      <c r="C50" s="90">
        <f t="shared" si="66"/>
        <v>16275</v>
      </c>
      <c r="D50" s="90">
        <f t="shared" si="66"/>
        <v>12241</v>
      </c>
      <c r="E50" s="90">
        <f t="shared" si="66"/>
        <v>4932</v>
      </c>
      <c r="F50" s="90">
        <f t="shared" si="66"/>
        <v>3822</v>
      </c>
      <c r="G50" s="90">
        <f t="shared" si="66"/>
        <v>383</v>
      </c>
      <c r="H50" s="90">
        <f t="shared" si="66"/>
        <v>3104</v>
      </c>
      <c r="J50" s="94"/>
      <c r="K50" s="94"/>
      <c r="L50" s="94"/>
      <c r="M50" s="94"/>
      <c r="N50" s="94"/>
      <c r="O50" s="94"/>
      <c r="P50" s="94"/>
      <c r="Q50" s="94"/>
    </row>
    <row r="51" spans="1:17">
      <c r="A51" s="75" t="s">
        <v>50</v>
      </c>
      <c r="B51" s="90">
        <f t="shared" si="66"/>
        <v>101.6</v>
      </c>
      <c r="C51" s="90">
        <f t="shared" si="66"/>
        <v>11731</v>
      </c>
      <c r="D51" s="90">
        <f t="shared" si="66"/>
        <v>9739</v>
      </c>
      <c r="E51" s="90">
        <f t="shared" si="66"/>
        <v>5187</v>
      </c>
      <c r="F51" s="90">
        <f t="shared" si="66"/>
        <v>1533</v>
      </c>
      <c r="G51" s="90">
        <f t="shared" si="66"/>
        <v>129</v>
      </c>
      <c r="H51" s="90">
        <f t="shared" si="66"/>
        <v>2890</v>
      </c>
      <c r="J51" s="21"/>
      <c r="K51" s="21"/>
      <c r="L51" s="21"/>
      <c r="M51" s="21"/>
      <c r="N51" s="21"/>
      <c r="O51" s="21"/>
      <c r="P51" s="21"/>
    </row>
    <row r="52" spans="1:17">
      <c r="A52" s="75" t="s">
        <v>44</v>
      </c>
      <c r="B52" s="91">
        <f t="shared" ref="B52:H52" si="67">B51/B50*100</f>
        <v>56.381798002219753</v>
      </c>
      <c r="C52" s="91">
        <f t="shared" si="67"/>
        <v>72.079877112135165</v>
      </c>
      <c r="D52" s="91">
        <f t="shared" si="67"/>
        <v>79.560493423739885</v>
      </c>
      <c r="E52" s="91">
        <f t="shared" si="67"/>
        <v>105.17031630170317</v>
      </c>
      <c r="F52" s="91">
        <f t="shared" si="67"/>
        <v>40.109890109890109</v>
      </c>
      <c r="G52" s="91">
        <f t="shared" si="67"/>
        <v>33.681462140992167</v>
      </c>
      <c r="H52" s="91">
        <f t="shared" si="67"/>
        <v>93.105670103092791</v>
      </c>
    </row>
    <row r="53" spans="1:17">
      <c r="A53" s="75" t="s">
        <v>13</v>
      </c>
      <c r="B53" s="90">
        <f t="shared" ref="B53:H55" si="68">K16+S16+AK16</f>
        <v>47.6</v>
      </c>
      <c r="C53" s="90">
        <f t="shared" si="68"/>
        <v>6198</v>
      </c>
      <c r="D53" s="90">
        <f t="shared" si="68"/>
        <v>5249</v>
      </c>
      <c r="E53" s="90">
        <f t="shared" si="68"/>
        <v>2863</v>
      </c>
      <c r="F53" s="90">
        <f t="shared" si="68"/>
        <v>991</v>
      </c>
      <c r="G53" s="90">
        <f t="shared" si="68"/>
        <v>6</v>
      </c>
      <c r="H53" s="90">
        <f t="shared" si="68"/>
        <v>1389</v>
      </c>
    </row>
    <row r="54" spans="1:17">
      <c r="A54" s="92" t="s">
        <v>14</v>
      </c>
      <c r="B54" s="90">
        <f t="shared" si="68"/>
        <v>12.8</v>
      </c>
      <c r="C54" s="90">
        <f t="shared" si="68"/>
        <v>2453</v>
      </c>
      <c r="D54" s="90">
        <f t="shared" si="68"/>
        <v>1995</v>
      </c>
      <c r="E54" s="90">
        <f t="shared" si="68"/>
        <v>839</v>
      </c>
      <c r="F54" s="90">
        <f t="shared" si="68"/>
        <v>280</v>
      </c>
      <c r="G54" s="90">
        <f t="shared" si="68"/>
        <v>118</v>
      </c>
      <c r="H54" s="90">
        <f t="shared" si="68"/>
        <v>758</v>
      </c>
      <c r="J54" s="94"/>
    </row>
    <row r="55" spans="1:17">
      <c r="A55" s="75" t="s">
        <v>15</v>
      </c>
      <c r="B55" s="90">
        <f t="shared" si="68"/>
        <v>0</v>
      </c>
      <c r="C55" s="90">
        <f t="shared" si="68"/>
        <v>7</v>
      </c>
      <c r="D55" s="90">
        <f t="shared" si="68"/>
        <v>6</v>
      </c>
      <c r="E55" s="90">
        <f t="shared" si="68"/>
        <v>6</v>
      </c>
      <c r="F55" s="90">
        <f t="shared" si="68"/>
        <v>0</v>
      </c>
      <c r="G55" s="90">
        <f t="shared" si="68"/>
        <v>0</v>
      </c>
      <c r="H55" s="90">
        <f t="shared" si="68"/>
        <v>0</v>
      </c>
    </row>
    <row r="56" spans="1:17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17">
      <c r="A57" s="75" t="s">
        <v>40</v>
      </c>
      <c r="B57" s="90">
        <f t="shared" ref="B57:H58" si="69">K20+S20+AK20</f>
        <v>979</v>
      </c>
      <c r="C57" s="90">
        <f t="shared" si="69"/>
        <v>50817</v>
      </c>
      <c r="D57" s="90">
        <f t="shared" si="69"/>
        <v>43212</v>
      </c>
      <c r="E57" s="90">
        <f t="shared" si="69"/>
        <v>7561</v>
      </c>
      <c r="F57" s="90">
        <f t="shared" si="69"/>
        <v>6680</v>
      </c>
      <c r="G57" s="90">
        <f t="shared" si="69"/>
        <v>1319</v>
      </c>
      <c r="H57" s="90">
        <f t="shared" si="69"/>
        <v>27652</v>
      </c>
    </row>
    <row r="58" spans="1:17">
      <c r="A58" s="92" t="s">
        <v>50</v>
      </c>
      <c r="B58" s="90">
        <f t="shared" si="69"/>
        <v>639.27199999999993</v>
      </c>
      <c r="C58" s="90">
        <f t="shared" si="69"/>
        <v>36624</v>
      </c>
      <c r="D58" s="90">
        <f t="shared" si="69"/>
        <v>31841</v>
      </c>
      <c r="E58" s="90">
        <f t="shared" si="69"/>
        <v>4463</v>
      </c>
      <c r="F58" s="90">
        <f t="shared" si="69"/>
        <v>1268</v>
      </c>
      <c r="G58" s="90">
        <f t="shared" si="69"/>
        <v>301</v>
      </c>
      <c r="H58" s="90">
        <f t="shared" si="69"/>
        <v>25809</v>
      </c>
    </row>
    <row r="59" spans="1:17">
      <c r="A59" s="75" t="s">
        <v>44</v>
      </c>
      <c r="B59" s="91">
        <f t="shared" ref="B59:H59" si="70">B58/B57*100</f>
        <v>65.298467824310507</v>
      </c>
      <c r="C59" s="91">
        <f t="shared" si="70"/>
        <v>72.07037015172088</v>
      </c>
      <c r="D59" s="91">
        <f t="shared" si="70"/>
        <v>73.685550310099046</v>
      </c>
      <c r="E59" s="91">
        <f t="shared" si="70"/>
        <v>59.026583785213596</v>
      </c>
      <c r="F59" s="91">
        <f t="shared" si="70"/>
        <v>18.982035928143713</v>
      </c>
      <c r="G59" s="91">
        <f t="shared" si="70"/>
        <v>22.820318423047762</v>
      </c>
      <c r="H59" s="91">
        <f t="shared" si="70"/>
        <v>93.335020974974682</v>
      </c>
    </row>
    <row r="60" spans="1:17">
      <c r="A60" s="75" t="s">
        <v>21</v>
      </c>
      <c r="B60" s="90">
        <f t="shared" ref="B60:H61" si="71">K23+S23+AK23</f>
        <v>490.4</v>
      </c>
      <c r="C60" s="90">
        <f t="shared" si="71"/>
        <v>31682</v>
      </c>
      <c r="D60" s="90">
        <f t="shared" si="71"/>
        <v>26487</v>
      </c>
      <c r="E60" s="90">
        <f t="shared" si="71"/>
        <v>6922</v>
      </c>
      <c r="F60" s="90">
        <f t="shared" si="71"/>
        <v>3151</v>
      </c>
      <c r="G60" s="90">
        <f t="shared" si="71"/>
        <v>544</v>
      </c>
      <c r="H60" s="90">
        <f t="shared" si="71"/>
        <v>15870</v>
      </c>
    </row>
    <row r="61" spans="1:17">
      <c r="A61" s="75" t="s">
        <v>51</v>
      </c>
      <c r="B61" s="90">
        <f t="shared" si="71"/>
        <v>295.87199999999996</v>
      </c>
      <c r="C61" s="90">
        <f t="shared" si="71"/>
        <v>21305</v>
      </c>
      <c r="D61" s="90">
        <f t="shared" si="71"/>
        <v>18499</v>
      </c>
      <c r="E61" s="90">
        <f t="shared" si="71"/>
        <v>4324</v>
      </c>
      <c r="F61" s="90">
        <f t="shared" si="71"/>
        <v>836</v>
      </c>
      <c r="G61" s="90">
        <f t="shared" si="71"/>
        <v>246</v>
      </c>
      <c r="H61" s="90">
        <f t="shared" si="71"/>
        <v>13093</v>
      </c>
    </row>
    <row r="62" spans="1:17">
      <c r="A62" s="75" t="s">
        <v>12</v>
      </c>
      <c r="B62" s="91">
        <f t="shared" ref="B62:H62" si="72">B61/B60*100</f>
        <v>60.332789559543222</v>
      </c>
      <c r="C62" s="91">
        <f t="shared" si="72"/>
        <v>67.246385960482286</v>
      </c>
      <c r="D62" s="91">
        <f t="shared" si="72"/>
        <v>69.841809189413667</v>
      </c>
      <c r="E62" s="91">
        <f t="shared" si="72"/>
        <v>62.467494943657897</v>
      </c>
      <c r="F62" s="91">
        <f t="shared" si="72"/>
        <v>26.531259917486512</v>
      </c>
      <c r="G62" s="91">
        <f t="shared" si="72"/>
        <v>45.220588235294116</v>
      </c>
      <c r="H62" s="91">
        <f t="shared" si="72"/>
        <v>82.501575299306879</v>
      </c>
    </row>
    <row r="63" spans="1:17">
      <c r="A63" s="75" t="s">
        <v>23</v>
      </c>
      <c r="B63" s="90">
        <f t="shared" ref="B63:H64" si="73">K26+S26+AK26</f>
        <v>77</v>
      </c>
      <c r="C63" s="90">
        <f t="shared" si="73"/>
        <v>1993</v>
      </c>
      <c r="D63" s="90">
        <f t="shared" si="73"/>
        <v>1789</v>
      </c>
      <c r="E63" s="90">
        <f t="shared" si="73"/>
        <v>14</v>
      </c>
      <c r="F63" s="90">
        <f t="shared" si="73"/>
        <v>405</v>
      </c>
      <c r="G63" s="90">
        <f t="shared" si="73"/>
        <v>57</v>
      </c>
      <c r="H63" s="90">
        <f t="shared" si="73"/>
        <v>1313</v>
      </c>
    </row>
    <row r="64" spans="1:17">
      <c r="A64" s="75" t="s">
        <v>45</v>
      </c>
      <c r="B64" s="90">
        <f t="shared" si="73"/>
        <v>21.599999999999998</v>
      </c>
      <c r="C64" s="90">
        <f t="shared" si="73"/>
        <v>1511</v>
      </c>
      <c r="D64" s="90">
        <f t="shared" si="73"/>
        <v>1340</v>
      </c>
      <c r="E64" s="90">
        <f t="shared" si="73"/>
        <v>9</v>
      </c>
      <c r="F64" s="90">
        <f t="shared" si="73"/>
        <v>22</v>
      </c>
      <c r="G64" s="90">
        <f t="shared" si="73"/>
        <v>0</v>
      </c>
      <c r="H64" s="90">
        <f t="shared" si="73"/>
        <v>1309</v>
      </c>
    </row>
    <row r="65" spans="1:8">
      <c r="A65" s="75" t="s">
        <v>12</v>
      </c>
      <c r="B65" s="91">
        <f t="shared" ref="B65:H65" si="74">B64/B63*100</f>
        <v>28.051948051948049</v>
      </c>
      <c r="C65" s="91">
        <f t="shared" si="74"/>
        <v>75.815353738083289</v>
      </c>
      <c r="D65" s="91">
        <f t="shared" si="74"/>
        <v>74.902179988820578</v>
      </c>
      <c r="E65" s="91">
        <f t="shared" si="74"/>
        <v>64.285714285714292</v>
      </c>
      <c r="F65" s="91">
        <f t="shared" si="74"/>
        <v>5.4320987654320989</v>
      </c>
      <c r="G65" s="91">
        <f t="shared" si="74"/>
        <v>0</v>
      </c>
      <c r="H65" s="91">
        <f t="shared" si="74"/>
        <v>99.695354150799702</v>
      </c>
    </row>
    <row r="66" spans="1:8">
      <c r="A66" s="75" t="s">
        <v>25</v>
      </c>
      <c r="B66" s="90">
        <f t="shared" ref="B66:H67" si="75">K29+S29+AK29</f>
        <v>180.9</v>
      </c>
      <c r="C66" s="90">
        <f t="shared" si="75"/>
        <v>5069</v>
      </c>
      <c r="D66" s="90">
        <f t="shared" si="75"/>
        <v>4429</v>
      </c>
      <c r="E66" s="90">
        <f t="shared" si="75"/>
        <v>236</v>
      </c>
      <c r="F66" s="90">
        <f t="shared" si="75"/>
        <v>742</v>
      </c>
      <c r="G66" s="90">
        <f t="shared" si="75"/>
        <v>62</v>
      </c>
      <c r="H66" s="90">
        <f t="shared" si="75"/>
        <v>3389</v>
      </c>
    </row>
    <row r="67" spans="1:8">
      <c r="A67" s="75" t="s">
        <v>46</v>
      </c>
      <c r="B67" s="90">
        <f t="shared" si="75"/>
        <v>237.39999999999998</v>
      </c>
      <c r="C67" s="90">
        <f t="shared" si="75"/>
        <v>8718</v>
      </c>
      <c r="D67" s="90">
        <f t="shared" si="75"/>
        <v>7621</v>
      </c>
      <c r="E67" s="90">
        <f t="shared" si="75"/>
        <v>0</v>
      </c>
      <c r="F67" s="90">
        <f t="shared" si="75"/>
        <v>164</v>
      </c>
      <c r="G67" s="90">
        <f t="shared" si="75"/>
        <v>3</v>
      </c>
      <c r="H67" s="90">
        <f t="shared" si="75"/>
        <v>7454</v>
      </c>
    </row>
    <row r="68" spans="1:8">
      <c r="A68" s="75" t="s">
        <v>12</v>
      </c>
      <c r="B68" s="91">
        <f t="shared" ref="B68:H68" si="76">B67/B66*100</f>
        <v>131.232725262576</v>
      </c>
      <c r="C68" s="91">
        <f t="shared" si="76"/>
        <v>171.98658512527126</v>
      </c>
      <c r="D68" s="91">
        <f t="shared" si="76"/>
        <v>172.07044479566494</v>
      </c>
      <c r="E68" s="91">
        <f t="shared" si="76"/>
        <v>0</v>
      </c>
      <c r="F68" s="91">
        <f t="shared" si="76"/>
        <v>22.102425876010781</v>
      </c>
      <c r="G68" s="91">
        <f t="shared" si="76"/>
        <v>4.838709677419355</v>
      </c>
      <c r="H68" s="91">
        <f t="shared" si="76"/>
        <v>219.94688698731187</v>
      </c>
    </row>
    <row r="69" spans="1:8">
      <c r="A69" s="75" t="s">
        <v>27</v>
      </c>
      <c r="B69" s="90">
        <f t="shared" ref="B69:H70" si="77">K32+S32+AK32</f>
        <v>3.3</v>
      </c>
      <c r="C69" s="90">
        <f t="shared" si="77"/>
        <v>461</v>
      </c>
      <c r="D69" s="90">
        <f t="shared" si="77"/>
        <v>397</v>
      </c>
      <c r="E69" s="90">
        <f t="shared" si="77"/>
        <v>215</v>
      </c>
      <c r="F69" s="90">
        <f t="shared" si="77"/>
        <v>29</v>
      </c>
      <c r="G69" s="90">
        <f t="shared" si="77"/>
        <v>9</v>
      </c>
      <c r="H69" s="90">
        <f t="shared" si="77"/>
        <v>144</v>
      </c>
    </row>
    <row r="70" spans="1:8">
      <c r="A70" s="75" t="s">
        <v>47</v>
      </c>
      <c r="B70" s="90">
        <f t="shared" si="77"/>
        <v>2</v>
      </c>
      <c r="C70" s="90">
        <f t="shared" si="77"/>
        <v>162</v>
      </c>
      <c r="D70" s="90">
        <f t="shared" si="77"/>
        <v>149</v>
      </c>
      <c r="E70" s="90">
        <f t="shared" si="77"/>
        <v>103</v>
      </c>
      <c r="F70" s="90">
        <f t="shared" si="77"/>
        <v>12</v>
      </c>
      <c r="G70" s="90">
        <f t="shared" si="77"/>
        <v>3</v>
      </c>
      <c r="H70" s="90">
        <f t="shared" si="77"/>
        <v>31</v>
      </c>
    </row>
    <row r="71" spans="1:8">
      <c r="A71" s="75" t="s">
        <v>12</v>
      </c>
      <c r="B71" s="91">
        <f t="shared" ref="B71:H71" si="78">B70/B69*100</f>
        <v>60.606060606060609</v>
      </c>
      <c r="C71" s="91">
        <f t="shared" si="78"/>
        <v>35.140997830802604</v>
      </c>
      <c r="D71" s="91">
        <f t="shared" si="78"/>
        <v>37.531486146095716</v>
      </c>
      <c r="E71" s="91">
        <f t="shared" si="78"/>
        <v>47.906976744186046</v>
      </c>
      <c r="F71" s="91">
        <f t="shared" si="78"/>
        <v>41.379310344827587</v>
      </c>
      <c r="G71" s="91">
        <f t="shared" si="78"/>
        <v>33.333333333333329</v>
      </c>
      <c r="H71" s="91">
        <f t="shared" si="78"/>
        <v>21.527777777777779</v>
      </c>
    </row>
    <row r="72" spans="1:8">
      <c r="A72" s="75" t="s">
        <v>29</v>
      </c>
      <c r="B72" s="90">
        <f t="shared" ref="B72:H73" si="79">K35+S35+AK35</f>
        <v>103.2</v>
      </c>
      <c r="C72" s="90">
        <f t="shared" si="79"/>
        <v>7148</v>
      </c>
      <c r="D72" s="90">
        <f t="shared" si="79"/>
        <v>6474</v>
      </c>
      <c r="E72" s="90">
        <f t="shared" si="79"/>
        <v>58</v>
      </c>
      <c r="F72" s="90">
        <f t="shared" si="79"/>
        <v>1470</v>
      </c>
      <c r="G72" s="90">
        <f t="shared" si="79"/>
        <v>486</v>
      </c>
      <c r="H72" s="90">
        <f t="shared" si="79"/>
        <v>4460</v>
      </c>
    </row>
    <row r="73" spans="1:8">
      <c r="A73" s="75" t="s">
        <v>48</v>
      </c>
      <c r="B73" s="90">
        <f t="shared" si="79"/>
        <v>40.799999999999997</v>
      </c>
      <c r="C73" s="90">
        <f t="shared" si="79"/>
        <v>2736</v>
      </c>
      <c r="D73" s="90">
        <f t="shared" si="79"/>
        <v>2368</v>
      </c>
      <c r="E73" s="90">
        <f t="shared" si="79"/>
        <v>0</v>
      </c>
      <c r="F73" s="90">
        <f t="shared" si="79"/>
        <v>205</v>
      </c>
      <c r="G73" s="90">
        <f t="shared" si="79"/>
        <v>46</v>
      </c>
      <c r="H73" s="90">
        <f t="shared" si="79"/>
        <v>2117</v>
      </c>
    </row>
    <row r="74" spans="1:8">
      <c r="A74" s="75" t="s">
        <v>12</v>
      </c>
      <c r="B74" s="91">
        <f t="shared" ref="B74:H74" si="80">B73/B72*100</f>
        <v>39.534883720930232</v>
      </c>
      <c r="C74" s="91">
        <f t="shared" si="80"/>
        <v>38.276440962506996</v>
      </c>
      <c r="D74" s="91">
        <f t="shared" si="80"/>
        <v>36.577077540932962</v>
      </c>
      <c r="E74" s="91">
        <f t="shared" si="80"/>
        <v>0</v>
      </c>
      <c r="F74" s="91">
        <f t="shared" si="80"/>
        <v>13.945578231292515</v>
      </c>
      <c r="G74" s="91">
        <f t="shared" si="80"/>
        <v>9.4650205761316872</v>
      </c>
      <c r="H74" s="91">
        <f t="shared" si="80"/>
        <v>47.466367713004487</v>
      </c>
    </row>
    <row r="75" spans="1:8">
      <c r="A75" s="75" t="s">
        <v>31</v>
      </c>
      <c r="B75" s="90">
        <f t="shared" ref="B75:H76" si="81">K38+S38+AK38</f>
        <v>124.19999999999999</v>
      </c>
      <c r="C75" s="90">
        <f t="shared" si="81"/>
        <v>4464</v>
      </c>
      <c r="D75" s="90">
        <f t="shared" si="81"/>
        <v>3636</v>
      </c>
      <c r="E75" s="90">
        <f t="shared" si="81"/>
        <v>116</v>
      </c>
      <c r="F75" s="90">
        <f t="shared" si="81"/>
        <v>883</v>
      </c>
      <c r="G75" s="90">
        <f t="shared" si="81"/>
        <v>161</v>
      </c>
      <c r="H75" s="90">
        <f t="shared" si="81"/>
        <v>2476</v>
      </c>
    </row>
    <row r="76" spans="1:8">
      <c r="A76" s="75" t="s">
        <v>52</v>
      </c>
      <c r="B76" s="90">
        <f t="shared" si="81"/>
        <v>41.6</v>
      </c>
      <c r="C76" s="90">
        <f t="shared" si="81"/>
        <v>2192</v>
      </c>
      <c r="D76" s="90">
        <f t="shared" si="81"/>
        <v>1864</v>
      </c>
      <c r="E76" s="90">
        <f t="shared" si="81"/>
        <v>27</v>
      </c>
      <c r="F76" s="90">
        <f t="shared" si="81"/>
        <v>29</v>
      </c>
      <c r="G76" s="90">
        <f t="shared" si="81"/>
        <v>3</v>
      </c>
      <c r="H76" s="90">
        <f t="shared" si="81"/>
        <v>1805</v>
      </c>
    </row>
    <row r="77" spans="1:8">
      <c r="A77" s="75" t="s">
        <v>12</v>
      </c>
      <c r="B77" s="91">
        <f t="shared" ref="B77:H77" si="82">B76/B75*100</f>
        <v>33.494363929146544</v>
      </c>
      <c r="C77" s="91">
        <f t="shared" si="82"/>
        <v>49.103942652329749</v>
      </c>
      <c r="D77" s="91">
        <f t="shared" si="82"/>
        <v>51.265126512651257</v>
      </c>
      <c r="E77" s="91">
        <f t="shared" si="82"/>
        <v>23.275862068965516</v>
      </c>
      <c r="F77" s="91">
        <f t="shared" si="82"/>
        <v>3.2842582106455263</v>
      </c>
      <c r="G77" s="91">
        <f t="shared" si="82"/>
        <v>1.8633540372670807</v>
      </c>
      <c r="H77" s="91">
        <f t="shared" si="82"/>
        <v>72.899838449111471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83">B9-B46</f>
        <v>0</v>
      </c>
      <c r="C83" s="83">
        <f t="shared" si="83"/>
        <v>0</v>
      </c>
      <c r="D83" s="83">
        <f t="shared" si="83"/>
        <v>0</v>
      </c>
      <c r="E83" s="83">
        <f t="shared" si="83"/>
        <v>0</v>
      </c>
      <c r="F83" s="83">
        <f t="shared" si="83"/>
        <v>0</v>
      </c>
      <c r="G83" s="83">
        <f t="shared" si="83"/>
        <v>0</v>
      </c>
      <c r="H83" s="83">
        <f t="shared" si="83"/>
        <v>0</v>
      </c>
    </row>
    <row r="84" spans="1:8">
      <c r="A84" s="84" t="s">
        <v>50</v>
      </c>
      <c r="B84" s="83">
        <f t="shared" si="83"/>
        <v>0</v>
      </c>
      <c r="C84" s="83">
        <f t="shared" si="83"/>
        <v>0</v>
      </c>
      <c r="D84" s="83">
        <f t="shared" si="83"/>
        <v>0</v>
      </c>
      <c r="E84" s="83">
        <f t="shared" si="83"/>
        <v>0</v>
      </c>
      <c r="F84" s="83">
        <f t="shared" si="83"/>
        <v>0</v>
      </c>
      <c r="G84" s="83">
        <f t="shared" si="83"/>
        <v>0</v>
      </c>
      <c r="H84" s="83">
        <f t="shared" si="83"/>
        <v>0</v>
      </c>
    </row>
    <row r="85" spans="1:8">
      <c r="A85" s="85" t="s">
        <v>44</v>
      </c>
      <c r="B85" s="83">
        <f t="shared" si="83"/>
        <v>0</v>
      </c>
      <c r="C85" s="83">
        <f t="shared" si="83"/>
        <v>0</v>
      </c>
      <c r="D85" s="83">
        <f t="shared" si="83"/>
        <v>0</v>
      </c>
      <c r="E85" s="83">
        <f t="shared" si="83"/>
        <v>0</v>
      </c>
      <c r="F85" s="83">
        <f t="shared" si="83"/>
        <v>0</v>
      </c>
      <c r="G85" s="83">
        <f t="shared" si="83"/>
        <v>0</v>
      </c>
      <c r="H85" s="83">
        <f t="shared" si="83"/>
        <v>0</v>
      </c>
    </row>
    <row r="86" spans="1:8">
      <c r="A86" s="87" t="s">
        <v>11</v>
      </c>
      <c r="B86" s="83">
        <f t="shared" si="83"/>
        <v>0</v>
      </c>
      <c r="C86" s="83">
        <f t="shared" si="83"/>
        <v>0</v>
      </c>
      <c r="D86" s="83">
        <f t="shared" si="83"/>
        <v>0</v>
      </c>
      <c r="E86" s="83">
        <f t="shared" si="83"/>
        <v>0</v>
      </c>
      <c r="F86" s="83">
        <f t="shared" si="83"/>
        <v>0</v>
      </c>
      <c r="G86" s="83">
        <f t="shared" si="83"/>
        <v>0</v>
      </c>
      <c r="H86" s="83">
        <f t="shared" si="83"/>
        <v>0</v>
      </c>
    </row>
    <row r="87" spans="1:8">
      <c r="A87" s="75" t="s">
        <v>40</v>
      </c>
      <c r="B87" s="83">
        <f t="shared" si="83"/>
        <v>0</v>
      </c>
      <c r="C87" s="83">
        <f t="shared" si="83"/>
        <v>0</v>
      </c>
      <c r="D87" s="83">
        <f t="shared" si="83"/>
        <v>0</v>
      </c>
      <c r="E87" s="83">
        <f t="shared" si="83"/>
        <v>0</v>
      </c>
      <c r="F87" s="83">
        <f t="shared" si="83"/>
        <v>0</v>
      </c>
      <c r="G87" s="83">
        <f t="shared" si="83"/>
        <v>0</v>
      </c>
      <c r="H87" s="83">
        <f t="shared" si="83"/>
        <v>0</v>
      </c>
    </row>
    <row r="88" spans="1:8">
      <c r="A88" s="75" t="s">
        <v>50</v>
      </c>
      <c r="B88" s="83">
        <f t="shared" si="83"/>
        <v>0</v>
      </c>
      <c r="C88" s="83">
        <f t="shared" si="83"/>
        <v>0</v>
      </c>
      <c r="D88" s="83">
        <f t="shared" si="83"/>
        <v>0</v>
      </c>
      <c r="E88" s="83">
        <f t="shared" si="83"/>
        <v>0</v>
      </c>
      <c r="F88" s="83">
        <f t="shared" si="83"/>
        <v>0</v>
      </c>
      <c r="G88" s="83">
        <f t="shared" si="83"/>
        <v>0</v>
      </c>
      <c r="H88" s="83">
        <f t="shared" si="83"/>
        <v>0</v>
      </c>
    </row>
    <row r="89" spans="1:8">
      <c r="A89" s="75" t="s">
        <v>44</v>
      </c>
      <c r="B89" s="83">
        <f t="shared" si="83"/>
        <v>0</v>
      </c>
      <c r="C89" s="83">
        <f t="shared" si="83"/>
        <v>0</v>
      </c>
      <c r="D89" s="83">
        <f t="shared" si="83"/>
        <v>0</v>
      </c>
      <c r="E89" s="83">
        <f t="shared" si="83"/>
        <v>0</v>
      </c>
      <c r="F89" s="83">
        <f t="shared" si="83"/>
        <v>0</v>
      </c>
      <c r="G89" s="83">
        <f t="shared" si="83"/>
        <v>0</v>
      </c>
      <c r="H89" s="83">
        <f t="shared" si="83"/>
        <v>0</v>
      </c>
    </row>
    <row r="90" spans="1:8">
      <c r="A90" s="75" t="s">
        <v>13</v>
      </c>
      <c r="B90" s="83">
        <f t="shared" si="83"/>
        <v>0</v>
      </c>
      <c r="C90" s="83">
        <f t="shared" si="83"/>
        <v>0</v>
      </c>
      <c r="D90" s="83">
        <f t="shared" si="83"/>
        <v>0</v>
      </c>
      <c r="E90" s="83">
        <f t="shared" si="83"/>
        <v>0</v>
      </c>
      <c r="F90" s="83">
        <f t="shared" si="83"/>
        <v>0</v>
      </c>
      <c r="G90" s="83">
        <f t="shared" si="83"/>
        <v>0</v>
      </c>
      <c r="H90" s="83">
        <f t="shared" si="83"/>
        <v>0</v>
      </c>
    </row>
    <row r="91" spans="1:8">
      <c r="A91" s="92" t="s">
        <v>14</v>
      </c>
      <c r="B91" s="83">
        <f t="shared" si="83"/>
        <v>0</v>
      </c>
      <c r="C91" s="83">
        <f t="shared" si="83"/>
        <v>0</v>
      </c>
      <c r="D91" s="83">
        <f t="shared" si="83"/>
        <v>0</v>
      </c>
      <c r="E91" s="83">
        <f t="shared" si="83"/>
        <v>0</v>
      </c>
      <c r="F91" s="83">
        <f t="shared" si="83"/>
        <v>0</v>
      </c>
      <c r="G91" s="83">
        <f t="shared" si="83"/>
        <v>0</v>
      </c>
      <c r="H91" s="83">
        <f t="shared" si="83"/>
        <v>0</v>
      </c>
    </row>
    <row r="92" spans="1:8">
      <c r="A92" s="75" t="s">
        <v>15</v>
      </c>
      <c r="B92" s="83">
        <f t="shared" si="83"/>
        <v>0</v>
      </c>
      <c r="C92" s="83">
        <f t="shared" si="83"/>
        <v>0</v>
      </c>
      <c r="D92" s="83">
        <f t="shared" si="83"/>
        <v>0</v>
      </c>
      <c r="E92" s="83">
        <f t="shared" si="83"/>
        <v>0</v>
      </c>
      <c r="F92" s="83">
        <f t="shared" si="83"/>
        <v>0</v>
      </c>
      <c r="G92" s="83">
        <f t="shared" si="83"/>
        <v>0</v>
      </c>
      <c r="H92" s="83">
        <f t="shared" si="83"/>
        <v>0</v>
      </c>
    </row>
    <row r="93" spans="1:8">
      <c r="A93" s="87" t="s">
        <v>16</v>
      </c>
      <c r="B93" s="83">
        <f t="shared" si="83"/>
        <v>0</v>
      </c>
      <c r="C93" s="83">
        <f t="shared" si="83"/>
        <v>0</v>
      </c>
      <c r="D93" s="83">
        <f t="shared" si="83"/>
        <v>0</v>
      </c>
      <c r="E93" s="83">
        <f t="shared" si="83"/>
        <v>0</v>
      </c>
      <c r="F93" s="83">
        <f t="shared" si="83"/>
        <v>0</v>
      </c>
      <c r="G93" s="83">
        <f t="shared" si="83"/>
        <v>0</v>
      </c>
      <c r="H93" s="83">
        <f t="shared" si="83"/>
        <v>0</v>
      </c>
    </row>
    <row r="94" spans="1:8">
      <c r="A94" s="75" t="s">
        <v>40</v>
      </c>
      <c r="B94" s="83">
        <f t="shared" si="83"/>
        <v>0</v>
      </c>
      <c r="C94" s="83">
        <f t="shared" si="83"/>
        <v>0</v>
      </c>
      <c r="D94" s="83">
        <f t="shared" si="83"/>
        <v>0</v>
      </c>
      <c r="E94" s="83">
        <f t="shared" si="83"/>
        <v>0</v>
      </c>
      <c r="F94" s="83">
        <f t="shared" si="83"/>
        <v>0</v>
      </c>
      <c r="G94" s="83">
        <f t="shared" si="83"/>
        <v>0</v>
      </c>
      <c r="H94" s="83">
        <f t="shared" si="83"/>
        <v>0</v>
      </c>
    </row>
    <row r="95" spans="1:8">
      <c r="A95" s="92" t="s">
        <v>50</v>
      </c>
      <c r="B95" s="83">
        <f t="shared" si="83"/>
        <v>0</v>
      </c>
      <c r="C95" s="83">
        <f t="shared" si="83"/>
        <v>0</v>
      </c>
      <c r="D95" s="83">
        <f t="shared" si="83"/>
        <v>0</v>
      </c>
      <c r="E95" s="83">
        <f t="shared" si="83"/>
        <v>0</v>
      </c>
      <c r="F95" s="83">
        <f t="shared" si="83"/>
        <v>0</v>
      </c>
      <c r="G95" s="83">
        <f t="shared" si="83"/>
        <v>0</v>
      </c>
      <c r="H95" s="83">
        <f t="shared" si="83"/>
        <v>0</v>
      </c>
    </row>
    <row r="96" spans="1:8">
      <c r="A96" s="75" t="s">
        <v>44</v>
      </c>
      <c r="B96" s="83">
        <f t="shared" si="83"/>
        <v>0</v>
      </c>
      <c r="C96" s="83">
        <f t="shared" si="83"/>
        <v>0</v>
      </c>
      <c r="D96" s="83">
        <f t="shared" si="83"/>
        <v>0</v>
      </c>
      <c r="E96" s="83">
        <f t="shared" si="83"/>
        <v>0</v>
      </c>
      <c r="F96" s="83">
        <f t="shared" si="83"/>
        <v>0</v>
      </c>
      <c r="G96" s="83">
        <f t="shared" si="83"/>
        <v>0</v>
      </c>
      <c r="H96" s="83">
        <f t="shared" si="83"/>
        <v>0</v>
      </c>
    </row>
    <row r="97" spans="1:8">
      <c r="A97" s="75" t="s">
        <v>21</v>
      </c>
      <c r="B97" s="83">
        <f t="shared" si="83"/>
        <v>0</v>
      </c>
      <c r="C97" s="83">
        <f t="shared" si="83"/>
        <v>0</v>
      </c>
      <c r="D97" s="83">
        <f t="shared" si="83"/>
        <v>0</v>
      </c>
      <c r="E97" s="83">
        <f t="shared" si="83"/>
        <v>0</v>
      </c>
      <c r="F97" s="83">
        <f t="shared" si="83"/>
        <v>0</v>
      </c>
      <c r="G97" s="83">
        <f t="shared" si="83"/>
        <v>0</v>
      </c>
      <c r="H97" s="83">
        <f t="shared" si="83"/>
        <v>0</v>
      </c>
    </row>
    <row r="98" spans="1:8">
      <c r="A98" s="75" t="s">
        <v>51</v>
      </c>
      <c r="B98" s="83">
        <f t="shared" si="83"/>
        <v>0</v>
      </c>
      <c r="C98" s="83">
        <f t="shared" si="83"/>
        <v>0</v>
      </c>
      <c r="D98" s="83">
        <f t="shared" si="83"/>
        <v>0</v>
      </c>
      <c r="E98" s="83">
        <f t="shared" si="83"/>
        <v>0</v>
      </c>
      <c r="F98" s="83">
        <f t="shared" si="83"/>
        <v>0</v>
      </c>
      <c r="G98" s="83">
        <f t="shared" si="83"/>
        <v>0</v>
      </c>
      <c r="H98" s="83">
        <f t="shared" si="83"/>
        <v>0</v>
      </c>
    </row>
    <row r="99" spans="1:8">
      <c r="A99" s="75" t="s">
        <v>12</v>
      </c>
      <c r="B99" s="83">
        <f t="shared" ref="B99:H114" si="84">B25-B62</f>
        <v>0</v>
      </c>
      <c r="C99" s="83">
        <f t="shared" si="84"/>
        <v>0</v>
      </c>
      <c r="D99" s="83">
        <f t="shared" si="84"/>
        <v>0</v>
      </c>
      <c r="E99" s="83">
        <f t="shared" si="84"/>
        <v>0</v>
      </c>
      <c r="F99" s="83">
        <f t="shared" si="84"/>
        <v>0</v>
      </c>
      <c r="G99" s="83">
        <f t="shared" si="84"/>
        <v>0</v>
      </c>
      <c r="H99" s="83">
        <f t="shared" si="84"/>
        <v>0</v>
      </c>
    </row>
    <row r="100" spans="1:8">
      <c r="A100" s="75" t="s">
        <v>23</v>
      </c>
      <c r="B100" s="83">
        <f t="shared" si="84"/>
        <v>0</v>
      </c>
      <c r="C100" s="83">
        <f t="shared" si="84"/>
        <v>0</v>
      </c>
      <c r="D100" s="83">
        <f t="shared" si="84"/>
        <v>0</v>
      </c>
      <c r="E100" s="83">
        <f t="shared" si="84"/>
        <v>0</v>
      </c>
      <c r="F100" s="83">
        <f t="shared" si="84"/>
        <v>0</v>
      </c>
      <c r="G100" s="83">
        <f t="shared" si="84"/>
        <v>0</v>
      </c>
      <c r="H100" s="83">
        <f t="shared" si="84"/>
        <v>0</v>
      </c>
    </row>
    <row r="101" spans="1:8">
      <c r="A101" s="75" t="s">
        <v>45</v>
      </c>
      <c r="B101" s="83">
        <f t="shared" si="84"/>
        <v>0</v>
      </c>
      <c r="C101" s="83">
        <f t="shared" si="84"/>
        <v>0</v>
      </c>
      <c r="D101" s="83">
        <f t="shared" si="84"/>
        <v>0</v>
      </c>
      <c r="E101" s="83">
        <f t="shared" si="84"/>
        <v>0</v>
      </c>
      <c r="F101" s="83">
        <f t="shared" si="84"/>
        <v>0</v>
      </c>
      <c r="G101" s="83">
        <f t="shared" si="84"/>
        <v>0</v>
      </c>
      <c r="H101" s="83">
        <f t="shared" si="84"/>
        <v>0</v>
      </c>
    </row>
    <row r="102" spans="1:8">
      <c r="A102" s="75" t="s">
        <v>12</v>
      </c>
      <c r="B102" s="83">
        <f t="shared" si="84"/>
        <v>0</v>
      </c>
      <c r="C102" s="83">
        <f t="shared" si="84"/>
        <v>0</v>
      </c>
      <c r="D102" s="83">
        <f t="shared" si="84"/>
        <v>0</v>
      </c>
      <c r="E102" s="83">
        <f t="shared" si="84"/>
        <v>0</v>
      </c>
      <c r="F102" s="83">
        <f t="shared" si="84"/>
        <v>0</v>
      </c>
      <c r="G102" s="83">
        <f t="shared" si="84"/>
        <v>0</v>
      </c>
      <c r="H102" s="83">
        <f t="shared" si="84"/>
        <v>0</v>
      </c>
    </row>
    <row r="103" spans="1:8">
      <c r="A103" s="75" t="s">
        <v>25</v>
      </c>
      <c r="B103" s="83">
        <f t="shared" si="84"/>
        <v>0</v>
      </c>
      <c r="C103" s="83">
        <f t="shared" si="84"/>
        <v>0</v>
      </c>
      <c r="D103" s="83">
        <f t="shared" si="84"/>
        <v>0</v>
      </c>
      <c r="E103" s="83">
        <f t="shared" si="84"/>
        <v>0</v>
      </c>
      <c r="F103" s="83">
        <f t="shared" si="84"/>
        <v>0</v>
      </c>
      <c r="G103" s="83">
        <f t="shared" si="84"/>
        <v>0</v>
      </c>
      <c r="H103" s="83">
        <f t="shared" si="84"/>
        <v>0</v>
      </c>
    </row>
    <row r="104" spans="1:8">
      <c r="A104" s="75" t="s">
        <v>46</v>
      </c>
      <c r="B104" s="83">
        <f t="shared" si="84"/>
        <v>0</v>
      </c>
      <c r="C104" s="83">
        <f t="shared" si="84"/>
        <v>0</v>
      </c>
      <c r="D104" s="83">
        <f t="shared" si="84"/>
        <v>0</v>
      </c>
      <c r="E104" s="83">
        <f t="shared" si="84"/>
        <v>0</v>
      </c>
      <c r="F104" s="83">
        <f t="shared" si="84"/>
        <v>0</v>
      </c>
      <c r="G104" s="83">
        <f t="shared" si="84"/>
        <v>0</v>
      </c>
      <c r="H104" s="83">
        <f t="shared" si="84"/>
        <v>0</v>
      </c>
    </row>
    <row r="105" spans="1:8">
      <c r="A105" s="75" t="s">
        <v>12</v>
      </c>
      <c r="B105" s="83">
        <f t="shared" si="84"/>
        <v>0</v>
      </c>
      <c r="C105" s="83">
        <f t="shared" si="84"/>
        <v>0</v>
      </c>
      <c r="D105" s="83">
        <f t="shared" si="84"/>
        <v>0</v>
      </c>
      <c r="E105" s="83">
        <f t="shared" si="84"/>
        <v>0</v>
      </c>
      <c r="F105" s="83">
        <f t="shared" si="84"/>
        <v>0</v>
      </c>
      <c r="G105" s="83">
        <f t="shared" si="84"/>
        <v>0</v>
      </c>
      <c r="H105" s="83">
        <f t="shared" si="84"/>
        <v>0</v>
      </c>
    </row>
    <row r="106" spans="1:8">
      <c r="A106" s="75" t="s">
        <v>27</v>
      </c>
      <c r="B106" s="83">
        <f t="shared" si="84"/>
        <v>0</v>
      </c>
      <c r="C106" s="83">
        <f t="shared" si="84"/>
        <v>0</v>
      </c>
      <c r="D106" s="83">
        <f t="shared" si="84"/>
        <v>0</v>
      </c>
      <c r="E106" s="83">
        <f t="shared" si="84"/>
        <v>0</v>
      </c>
      <c r="F106" s="83">
        <f t="shared" si="84"/>
        <v>0</v>
      </c>
      <c r="G106" s="83">
        <f t="shared" si="84"/>
        <v>0</v>
      </c>
      <c r="H106" s="83">
        <f t="shared" si="84"/>
        <v>0</v>
      </c>
    </row>
    <row r="107" spans="1:8">
      <c r="A107" s="75" t="s">
        <v>47</v>
      </c>
      <c r="B107" s="83">
        <f t="shared" si="84"/>
        <v>0</v>
      </c>
      <c r="C107" s="83">
        <f t="shared" si="84"/>
        <v>0</v>
      </c>
      <c r="D107" s="83">
        <f t="shared" si="84"/>
        <v>0</v>
      </c>
      <c r="E107" s="83">
        <f t="shared" si="84"/>
        <v>0</v>
      </c>
      <c r="F107" s="83">
        <f t="shared" si="84"/>
        <v>0</v>
      </c>
      <c r="G107" s="83">
        <f t="shared" si="84"/>
        <v>0</v>
      </c>
      <c r="H107" s="83">
        <f t="shared" si="84"/>
        <v>0</v>
      </c>
    </row>
    <row r="108" spans="1:8">
      <c r="A108" s="75" t="s">
        <v>12</v>
      </c>
      <c r="B108" s="83">
        <f t="shared" si="84"/>
        <v>0</v>
      </c>
      <c r="C108" s="83">
        <f t="shared" si="84"/>
        <v>0</v>
      </c>
      <c r="D108" s="83">
        <f t="shared" si="84"/>
        <v>0</v>
      </c>
      <c r="E108" s="83">
        <f t="shared" si="84"/>
        <v>0</v>
      </c>
      <c r="F108" s="83">
        <f t="shared" si="84"/>
        <v>0</v>
      </c>
      <c r="G108" s="83">
        <f t="shared" si="84"/>
        <v>0</v>
      </c>
      <c r="H108" s="83">
        <f t="shared" si="84"/>
        <v>0</v>
      </c>
    </row>
    <row r="109" spans="1:8">
      <c r="A109" s="75" t="s">
        <v>29</v>
      </c>
      <c r="B109" s="83">
        <f t="shared" si="84"/>
        <v>0</v>
      </c>
      <c r="C109" s="83">
        <f t="shared" si="84"/>
        <v>0</v>
      </c>
      <c r="D109" s="83">
        <f t="shared" si="84"/>
        <v>0</v>
      </c>
      <c r="E109" s="83">
        <f t="shared" si="84"/>
        <v>0</v>
      </c>
      <c r="F109" s="83">
        <f t="shared" si="84"/>
        <v>0</v>
      </c>
      <c r="G109" s="83">
        <f t="shared" si="84"/>
        <v>0</v>
      </c>
      <c r="H109" s="83">
        <f t="shared" si="84"/>
        <v>0</v>
      </c>
    </row>
    <row r="110" spans="1:8">
      <c r="A110" s="75" t="s">
        <v>48</v>
      </c>
      <c r="B110" s="83">
        <f t="shared" si="84"/>
        <v>0</v>
      </c>
      <c r="C110" s="83">
        <f t="shared" si="84"/>
        <v>0</v>
      </c>
      <c r="D110" s="83">
        <f t="shared" si="84"/>
        <v>0</v>
      </c>
      <c r="E110" s="83">
        <f t="shared" si="84"/>
        <v>0</v>
      </c>
      <c r="F110" s="83">
        <f t="shared" si="84"/>
        <v>0</v>
      </c>
      <c r="G110" s="83">
        <f t="shared" si="84"/>
        <v>0</v>
      </c>
      <c r="H110" s="83">
        <f t="shared" si="84"/>
        <v>0</v>
      </c>
    </row>
    <row r="111" spans="1:8">
      <c r="A111" s="75" t="s">
        <v>12</v>
      </c>
      <c r="B111" s="83">
        <f t="shared" si="84"/>
        <v>0</v>
      </c>
      <c r="C111" s="83">
        <f t="shared" si="84"/>
        <v>0</v>
      </c>
      <c r="D111" s="83">
        <f t="shared" si="84"/>
        <v>0</v>
      </c>
      <c r="E111" s="83">
        <f t="shared" si="84"/>
        <v>0</v>
      </c>
      <c r="F111" s="83">
        <f t="shared" si="84"/>
        <v>0</v>
      </c>
      <c r="G111" s="83">
        <f t="shared" si="84"/>
        <v>0</v>
      </c>
      <c r="H111" s="83">
        <f t="shared" si="84"/>
        <v>0</v>
      </c>
    </row>
    <row r="112" spans="1:8">
      <c r="A112" s="75" t="s">
        <v>31</v>
      </c>
      <c r="B112" s="83">
        <f t="shared" si="84"/>
        <v>0</v>
      </c>
      <c r="C112" s="83">
        <f t="shared" si="84"/>
        <v>0</v>
      </c>
      <c r="D112" s="83">
        <f t="shared" si="84"/>
        <v>0</v>
      </c>
      <c r="E112" s="83">
        <f t="shared" si="84"/>
        <v>0</v>
      </c>
      <c r="F112" s="83">
        <f t="shared" si="84"/>
        <v>0</v>
      </c>
      <c r="G112" s="83">
        <f t="shared" si="84"/>
        <v>0</v>
      </c>
      <c r="H112" s="83">
        <f t="shared" si="84"/>
        <v>0</v>
      </c>
    </row>
    <row r="113" spans="1:8">
      <c r="A113" s="75" t="s">
        <v>52</v>
      </c>
      <c r="B113" s="83">
        <f t="shared" si="84"/>
        <v>0</v>
      </c>
      <c r="C113" s="83">
        <f t="shared" si="84"/>
        <v>0</v>
      </c>
      <c r="D113" s="83">
        <f t="shared" si="84"/>
        <v>0</v>
      </c>
      <c r="E113" s="83">
        <f t="shared" si="84"/>
        <v>0</v>
      </c>
      <c r="F113" s="83">
        <f t="shared" si="84"/>
        <v>0</v>
      </c>
      <c r="G113" s="83">
        <f t="shared" si="84"/>
        <v>0</v>
      </c>
      <c r="H113" s="83">
        <f t="shared" si="84"/>
        <v>0</v>
      </c>
    </row>
    <row r="114" spans="1:8">
      <c r="A114" s="75" t="s">
        <v>12</v>
      </c>
      <c r="B114" s="83">
        <f t="shared" si="84"/>
        <v>0</v>
      </c>
      <c r="C114" s="83">
        <f t="shared" si="84"/>
        <v>0</v>
      </c>
      <c r="D114" s="83">
        <f t="shared" si="84"/>
        <v>0</v>
      </c>
      <c r="E114" s="83">
        <f t="shared" si="84"/>
        <v>0</v>
      </c>
      <c r="F114" s="83">
        <f t="shared" si="84"/>
        <v>0</v>
      </c>
      <c r="G114" s="83">
        <f t="shared" si="84"/>
        <v>0</v>
      </c>
      <c r="H114" s="83">
        <f t="shared" si="84"/>
        <v>0</v>
      </c>
    </row>
  </sheetData>
  <mergeCells count="18">
    <mergeCell ref="AA8:AH8"/>
    <mergeCell ref="AJ8:AQ8"/>
    <mergeCell ref="A12:H12"/>
    <mergeCell ref="J12:Q12"/>
    <mergeCell ref="R12:Y12"/>
    <mergeCell ref="AA12:AH12"/>
    <mergeCell ref="AJ12:AQ12"/>
    <mergeCell ref="A8:H8"/>
    <mergeCell ref="AJ19:AQ19"/>
    <mergeCell ref="A19:H19"/>
    <mergeCell ref="J19:Q19"/>
    <mergeCell ref="R19:Y19"/>
    <mergeCell ref="AA19:AH19"/>
    <mergeCell ref="J8:Q8"/>
    <mergeCell ref="R8:Y8"/>
    <mergeCell ref="B1:H1"/>
    <mergeCell ref="B2:H2"/>
    <mergeCell ref="A4:H4"/>
  </mergeCells>
  <phoneticPr fontId="17" type="noConversion"/>
  <pageMargins left="0.26" right="0.7" top="0.24" bottom="0.39" header="0.15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7"/>
  <dimension ref="A1:AR114"/>
  <sheetViews>
    <sheetView zoomScale="70" zoomScaleNormal="70" workbookViewId="0">
      <selection activeCell="M18" sqref="M18"/>
    </sheetView>
  </sheetViews>
  <sheetFormatPr defaultRowHeight="13.2"/>
  <cols>
    <col min="1" max="1" width="14.5546875" customWidth="1"/>
    <col min="2" max="2" width="7.109375" customWidth="1"/>
    <col min="3" max="3" width="8" customWidth="1"/>
    <col min="5" max="5" width="7.5546875" customWidth="1"/>
    <col min="6" max="6" width="7.33203125" customWidth="1"/>
    <col min="7" max="8" width="7.88671875" customWidth="1"/>
    <col min="9" max="9" width="5.33203125" customWidth="1"/>
    <col min="10" max="10" width="15" customWidth="1"/>
    <col min="11" max="11" width="7.5546875" customWidth="1"/>
    <col min="12" max="12" width="7.6640625" customWidth="1"/>
    <col min="14" max="14" width="6.88671875" customWidth="1"/>
    <col min="15" max="15" width="7.6640625" customWidth="1"/>
    <col min="16" max="16" width="8" customWidth="1"/>
    <col min="17" max="17" width="7.6640625" customWidth="1"/>
    <col min="18" max="18" width="14.33203125" customWidth="1"/>
    <col min="19" max="19" width="7.33203125" customWidth="1"/>
    <col min="20" max="20" width="8" customWidth="1"/>
    <col min="22" max="22" width="6.88671875" customWidth="1"/>
    <col min="23" max="23" width="7.5546875" customWidth="1"/>
    <col min="24" max="24" width="7.88671875" customWidth="1"/>
    <col min="25" max="25" width="6.88671875" customWidth="1"/>
    <col min="26" max="26" width="5.88671875" customWidth="1"/>
    <col min="27" max="27" width="15.33203125" bestFit="1" customWidth="1"/>
    <col min="28" max="28" width="7.33203125" customWidth="1"/>
    <col min="29" max="29" width="7.88671875" customWidth="1"/>
    <col min="31" max="31" width="7.33203125" customWidth="1"/>
    <col min="32" max="32" width="8" customWidth="1"/>
    <col min="33" max="33" width="7.109375" customWidth="1"/>
    <col min="34" max="34" width="8.109375" customWidth="1"/>
    <col min="36" max="36" width="10.88671875" customWidth="1"/>
  </cols>
  <sheetData>
    <row r="1" spans="1:44" s="12" customFormat="1" ht="18.75" customHeight="1">
      <c r="A1" s="37"/>
      <c r="B1" s="37"/>
      <c r="C1" s="37"/>
      <c r="D1" s="37"/>
      <c r="E1" s="37"/>
      <c r="F1" s="37"/>
      <c r="G1" s="37"/>
      <c r="H1" s="37"/>
      <c r="I1" s="37"/>
      <c r="K1" s="115"/>
      <c r="L1" s="115"/>
      <c r="M1" s="115"/>
      <c r="N1" s="115"/>
      <c r="O1" s="432" t="s">
        <v>61</v>
      </c>
      <c r="P1"/>
      <c r="Q1"/>
      <c r="R1"/>
      <c r="S1"/>
    </row>
    <row r="2" spans="1:44" s="12" customFormat="1" ht="29.25" customHeight="1">
      <c r="H2" s="39" t="s">
        <v>34</v>
      </c>
      <c r="I2" s="39"/>
      <c r="K2" s="184"/>
      <c r="L2" s="184"/>
      <c r="M2" s="184"/>
      <c r="N2" s="184"/>
      <c r="O2" s="433" t="s">
        <v>33</v>
      </c>
      <c r="P2"/>
      <c r="Q2"/>
      <c r="R2"/>
      <c r="S2"/>
    </row>
    <row r="3" spans="1:44" s="37" customFormat="1" ht="21" customHeight="1">
      <c r="A3" s="12"/>
      <c r="B3" s="12"/>
      <c r="C3" s="12"/>
      <c r="D3" s="12"/>
      <c r="E3" s="12"/>
      <c r="F3" s="12"/>
      <c r="G3" s="12"/>
      <c r="H3" s="39" t="s">
        <v>109</v>
      </c>
      <c r="I3" s="39"/>
      <c r="J3" s="40"/>
      <c r="K3" s="12"/>
      <c r="L3" s="12"/>
      <c r="M3" s="12"/>
      <c r="N3" s="12"/>
      <c r="O3" s="12"/>
      <c r="P3" s="12"/>
      <c r="Q3" s="12"/>
    </row>
    <row r="4" spans="1:44" ht="15.6" customHeight="1">
      <c r="A4" s="467" t="s">
        <v>110</v>
      </c>
      <c r="B4" s="467"/>
      <c r="C4" s="467"/>
      <c r="D4" s="467"/>
      <c r="E4" s="467"/>
      <c r="F4" s="467"/>
      <c r="G4" s="467"/>
      <c r="H4" s="467"/>
      <c r="I4" s="511" t="s">
        <v>111</v>
      </c>
      <c r="J4" s="511"/>
      <c r="K4" s="511"/>
      <c r="L4" s="511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</row>
    <row r="5" spans="1:44" ht="15.75" customHeight="1">
      <c r="A5" s="13" t="s">
        <v>35</v>
      </c>
      <c r="B5" s="1"/>
      <c r="C5" s="512"/>
      <c r="D5" s="512"/>
      <c r="E5" s="512"/>
      <c r="F5" s="512"/>
      <c r="G5" s="512"/>
      <c r="H5" s="512"/>
      <c r="I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44">
      <c r="A6" s="56" t="s">
        <v>0</v>
      </c>
      <c r="B6" s="98" t="s">
        <v>1</v>
      </c>
      <c r="C6" s="98" t="s">
        <v>2</v>
      </c>
      <c r="D6" s="98" t="s">
        <v>3</v>
      </c>
      <c r="E6" s="98" t="s">
        <v>4</v>
      </c>
      <c r="F6" s="98" t="s">
        <v>5</v>
      </c>
      <c r="G6" s="98" t="s">
        <v>6</v>
      </c>
      <c r="H6" s="98" t="s">
        <v>7</v>
      </c>
      <c r="I6" s="109"/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109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109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</row>
    <row r="7" spans="1:44">
      <c r="A7" s="6"/>
      <c r="B7" s="98" t="s">
        <v>8</v>
      </c>
      <c r="C7" s="98" t="s">
        <v>9</v>
      </c>
      <c r="D7" s="98" t="s">
        <v>10</v>
      </c>
      <c r="E7" s="98" t="s">
        <v>9</v>
      </c>
      <c r="F7" s="98" t="s">
        <v>9</v>
      </c>
      <c r="G7" s="98" t="s">
        <v>9</v>
      </c>
      <c r="H7" s="98" t="s">
        <v>9</v>
      </c>
      <c r="I7" s="109"/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109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109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</row>
    <row r="8" spans="1:44">
      <c r="A8" s="480" t="s">
        <v>17</v>
      </c>
      <c r="B8" s="480"/>
      <c r="C8" s="480"/>
      <c r="D8" s="480"/>
      <c r="E8" s="480"/>
      <c r="F8" s="480"/>
      <c r="G8" s="480"/>
      <c r="H8" s="480"/>
      <c r="I8" s="186"/>
      <c r="J8" s="480" t="s">
        <v>17</v>
      </c>
      <c r="K8" s="480"/>
      <c r="L8" s="480"/>
      <c r="M8" s="480"/>
      <c r="N8" s="480"/>
      <c r="O8" s="480"/>
      <c r="P8" s="480"/>
      <c r="Q8" s="480"/>
      <c r="R8" s="480" t="s">
        <v>17</v>
      </c>
      <c r="S8" s="480"/>
      <c r="T8" s="480"/>
      <c r="U8" s="480"/>
      <c r="V8" s="480"/>
      <c r="W8" s="480"/>
      <c r="X8" s="480"/>
      <c r="Y8" s="480"/>
      <c r="Z8" s="186"/>
      <c r="AA8" s="480" t="s">
        <v>17</v>
      </c>
      <c r="AB8" s="480"/>
      <c r="AC8" s="480"/>
      <c r="AD8" s="480"/>
      <c r="AE8" s="480"/>
      <c r="AF8" s="480"/>
      <c r="AG8" s="480"/>
      <c r="AH8" s="480"/>
      <c r="AI8" s="186"/>
      <c r="AJ8" s="469" t="s">
        <v>17</v>
      </c>
      <c r="AK8" s="470"/>
      <c r="AL8" s="470"/>
      <c r="AM8" s="470"/>
      <c r="AN8" s="470"/>
      <c r="AO8" s="470"/>
      <c r="AP8" s="470"/>
      <c r="AQ8" s="471"/>
      <c r="AR8" s="115"/>
    </row>
    <row r="9" spans="1:44">
      <c r="A9" s="33" t="s">
        <v>18</v>
      </c>
      <c r="B9" s="33">
        <f>B13+B20</f>
        <v>149</v>
      </c>
      <c r="C9" s="33">
        <f t="shared" ref="C9:H10" si="0">C13+C20</f>
        <v>13999</v>
      </c>
      <c r="D9" s="33">
        <f t="shared" si="0"/>
        <v>11706</v>
      </c>
      <c r="E9" s="33">
        <f t="shared" si="0"/>
        <v>5522</v>
      </c>
      <c r="F9" s="33">
        <f t="shared" si="0"/>
        <v>2103</v>
      </c>
      <c r="G9" s="33">
        <f t="shared" si="0"/>
        <v>647</v>
      </c>
      <c r="H9" s="33">
        <f t="shared" si="0"/>
        <v>3434</v>
      </c>
      <c r="I9" s="110"/>
      <c r="J9" s="33" t="s">
        <v>18</v>
      </c>
      <c r="K9" s="33">
        <f>SUM(K13,K20)</f>
        <v>5</v>
      </c>
      <c r="L9" s="33">
        <f t="shared" ref="L9:Q10" si="1">L13+L20</f>
        <v>121</v>
      </c>
      <c r="M9" s="33">
        <f t="shared" si="1"/>
        <v>96</v>
      </c>
      <c r="N9" s="33">
        <f t="shared" si="1"/>
        <v>18</v>
      </c>
      <c r="O9" s="33">
        <f t="shared" si="1"/>
        <v>34</v>
      </c>
      <c r="P9" s="33">
        <f t="shared" si="1"/>
        <v>6</v>
      </c>
      <c r="Q9" s="33">
        <f t="shared" si="1"/>
        <v>38</v>
      </c>
      <c r="R9" s="33" t="s">
        <v>18</v>
      </c>
      <c r="S9" s="33">
        <f>S13+S20</f>
        <v>142</v>
      </c>
      <c r="T9" s="33">
        <f t="shared" ref="T9:Y10" si="2">T13+T20</f>
        <v>13829</v>
      </c>
      <c r="U9" s="33">
        <f t="shared" si="2"/>
        <v>11578</v>
      </c>
      <c r="V9" s="33">
        <f t="shared" si="2"/>
        <v>5504</v>
      </c>
      <c r="W9" s="33">
        <f t="shared" si="2"/>
        <v>2065</v>
      </c>
      <c r="X9" s="33">
        <f t="shared" si="2"/>
        <v>641</v>
      </c>
      <c r="Y9" s="33">
        <f t="shared" si="2"/>
        <v>3368</v>
      </c>
      <c r="Z9" s="110"/>
      <c r="AA9" s="33" t="s">
        <v>18</v>
      </c>
      <c r="AB9" s="33">
        <f>AB13+AB20</f>
        <v>46</v>
      </c>
      <c r="AC9" s="33">
        <f t="shared" ref="AC9:AH10" si="3">AC13+AC20</f>
        <v>9713</v>
      </c>
      <c r="AD9" s="33">
        <f t="shared" si="3"/>
        <v>8122</v>
      </c>
      <c r="AE9" s="33">
        <f t="shared" si="3"/>
        <v>5485</v>
      </c>
      <c r="AF9" s="33">
        <f t="shared" si="3"/>
        <v>1140</v>
      </c>
      <c r="AG9" s="33">
        <f t="shared" si="3"/>
        <v>191</v>
      </c>
      <c r="AH9" s="33">
        <f t="shared" si="3"/>
        <v>1306</v>
      </c>
      <c r="AI9" s="110"/>
      <c r="AJ9" s="33" t="s">
        <v>18</v>
      </c>
      <c r="AK9" s="33">
        <f>AK13+AK20</f>
        <v>2</v>
      </c>
      <c r="AL9" s="33">
        <f t="shared" ref="AL9:AQ9" si="4">AL13+AL20</f>
        <v>49</v>
      </c>
      <c r="AM9" s="33">
        <f t="shared" si="4"/>
        <v>32</v>
      </c>
      <c r="AN9" s="33">
        <f t="shared" si="4"/>
        <v>0</v>
      </c>
      <c r="AO9" s="33">
        <f t="shared" si="4"/>
        <v>4</v>
      </c>
      <c r="AP9" s="33">
        <f t="shared" si="4"/>
        <v>0</v>
      </c>
      <c r="AQ9" s="33">
        <f t="shared" si="4"/>
        <v>28</v>
      </c>
      <c r="AR9" s="115"/>
    </row>
    <row r="10" spans="1:44">
      <c r="A10" s="7" t="s">
        <v>19</v>
      </c>
      <c r="B10" s="33">
        <f>B14+B21</f>
        <v>63.900000000000006</v>
      </c>
      <c r="C10" s="33">
        <f>C14+C21</f>
        <v>9228</v>
      </c>
      <c r="D10" s="33">
        <f t="shared" si="0"/>
        <v>8632</v>
      </c>
      <c r="E10" s="33">
        <f t="shared" si="0"/>
        <v>4965</v>
      </c>
      <c r="F10" s="33">
        <f t="shared" si="0"/>
        <v>1145</v>
      </c>
      <c r="G10" s="33">
        <f t="shared" si="0"/>
        <v>200</v>
      </c>
      <c r="H10" s="33">
        <f t="shared" si="0"/>
        <v>2322</v>
      </c>
      <c r="I10" s="110"/>
      <c r="J10" s="7" t="s">
        <v>19</v>
      </c>
      <c r="K10" s="33">
        <f>K14+K21</f>
        <v>0</v>
      </c>
      <c r="L10" s="33">
        <f t="shared" si="1"/>
        <v>0</v>
      </c>
      <c r="M10" s="33">
        <f t="shared" si="1"/>
        <v>0</v>
      </c>
      <c r="N10" s="33">
        <f t="shared" si="1"/>
        <v>0</v>
      </c>
      <c r="O10" s="33">
        <f t="shared" si="1"/>
        <v>0</v>
      </c>
      <c r="P10" s="33">
        <f t="shared" si="1"/>
        <v>0</v>
      </c>
      <c r="Q10" s="33">
        <f t="shared" si="1"/>
        <v>0</v>
      </c>
      <c r="R10" s="7" t="s">
        <v>19</v>
      </c>
      <c r="S10" s="42">
        <f>S14+S21</f>
        <v>57.600000000000009</v>
      </c>
      <c r="T10" s="33">
        <f t="shared" si="2"/>
        <v>8957</v>
      </c>
      <c r="U10" s="42">
        <f>U14+U21</f>
        <v>8374</v>
      </c>
      <c r="V10" s="33">
        <f t="shared" si="2"/>
        <v>4965</v>
      </c>
      <c r="W10" s="33">
        <f t="shared" si="2"/>
        <v>1145</v>
      </c>
      <c r="X10" s="33">
        <f t="shared" si="2"/>
        <v>200</v>
      </c>
      <c r="Y10" s="33">
        <f t="shared" si="2"/>
        <v>2064</v>
      </c>
      <c r="Z10" s="110"/>
      <c r="AA10" s="7" t="s">
        <v>19</v>
      </c>
      <c r="AB10" s="42">
        <f>AB14+AB21</f>
        <v>28.6</v>
      </c>
      <c r="AC10" s="33">
        <f t="shared" si="3"/>
        <v>7272</v>
      </c>
      <c r="AD10" s="33">
        <f t="shared" si="3"/>
        <v>6787</v>
      </c>
      <c r="AE10" s="33">
        <f t="shared" si="3"/>
        <v>4846</v>
      </c>
      <c r="AF10" s="33">
        <f t="shared" si="3"/>
        <v>996</v>
      </c>
      <c r="AG10" s="33">
        <f t="shared" si="3"/>
        <v>164</v>
      </c>
      <c r="AH10" s="33">
        <f t="shared" si="3"/>
        <v>781</v>
      </c>
      <c r="AI10" s="110"/>
      <c r="AJ10" s="7" t="s">
        <v>19</v>
      </c>
      <c r="AK10" s="33">
        <f>SUM(AK21,AK14)</f>
        <v>6.3</v>
      </c>
      <c r="AL10" s="33">
        <f t="shared" ref="AL10:AQ10" si="5">SUM(AL21,AL14)</f>
        <v>271</v>
      </c>
      <c r="AM10" s="33">
        <f t="shared" si="5"/>
        <v>258</v>
      </c>
      <c r="AN10" s="33">
        <f t="shared" si="5"/>
        <v>0</v>
      </c>
      <c r="AO10" s="33">
        <f t="shared" si="5"/>
        <v>0</v>
      </c>
      <c r="AP10" s="33">
        <f t="shared" si="5"/>
        <v>0</v>
      </c>
      <c r="AQ10" s="33">
        <f t="shared" si="5"/>
        <v>258</v>
      </c>
      <c r="AR10" s="115"/>
    </row>
    <row r="11" spans="1:44">
      <c r="A11" s="33" t="s">
        <v>20</v>
      </c>
      <c r="B11" s="26">
        <f t="shared" ref="B11:H11" si="6">B10/B9*100</f>
        <v>42.885906040268459</v>
      </c>
      <c r="C11" s="26">
        <f t="shared" si="6"/>
        <v>65.918994213872423</v>
      </c>
      <c r="D11" s="26">
        <f t="shared" si="6"/>
        <v>73.739962412438061</v>
      </c>
      <c r="E11" s="26">
        <f t="shared" si="6"/>
        <v>89.913074972835929</v>
      </c>
      <c r="F11" s="26">
        <f t="shared" si="6"/>
        <v>54.446029481692818</v>
      </c>
      <c r="G11" s="26">
        <f t="shared" si="6"/>
        <v>30.911901081916536</v>
      </c>
      <c r="H11" s="26">
        <f t="shared" si="6"/>
        <v>67.617938264414676</v>
      </c>
      <c r="I11" s="113"/>
      <c r="J11" s="33" t="s">
        <v>20</v>
      </c>
      <c r="K11" s="26">
        <f t="shared" ref="K11:Q11" si="7">K10/K9*100</f>
        <v>0</v>
      </c>
      <c r="L11" s="26">
        <f t="shared" si="7"/>
        <v>0</v>
      </c>
      <c r="M11" s="26">
        <f t="shared" si="7"/>
        <v>0</v>
      </c>
      <c r="N11" s="26">
        <f t="shared" si="7"/>
        <v>0</v>
      </c>
      <c r="O11" s="26">
        <f t="shared" si="7"/>
        <v>0</v>
      </c>
      <c r="P11" s="26">
        <f t="shared" si="7"/>
        <v>0</v>
      </c>
      <c r="Q11" s="26">
        <f t="shared" si="7"/>
        <v>0</v>
      </c>
      <c r="R11" s="33" t="s">
        <v>20</v>
      </c>
      <c r="S11" s="26">
        <f t="shared" ref="S11:Y11" si="8">S10/S9*100</f>
        <v>40.563380281690151</v>
      </c>
      <c r="T11" s="26">
        <f t="shared" si="8"/>
        <v>64.769686889869121</v>
      </c>
      <c r="U11" s="26">
        <f t="shared" si="8"/>
        <v>72.326826740369668</v>
      </c>
      <c r="V11" s="26">
        <f t="shared" si="8"/>
        <v>90.207122093023244</v>
      </c>
      <c r="W11" s="26">
        <f t="shared" si="8"/>
        <v>55.447941888619859</v>
      </c>
      <c r="X11" s="26">
        <f t="shared" si="8"/>
        <v>31.201248049921997</v>
      </c>
      <c r="Y11" s="26">
        <f t="shared" si="8"/>
        <v>61.282660332541575</v>
      </c>
      <c r="Z11" s="113"/>
      <c r="AA11" s="33" t="s">
        <v>20</v>
      </c>
      <c r="AB11" s="26">
        <f t="shared" ref="AB11:AH11" si="9">AB10/AB9*100</f>
        <v>62.173913043478265</v>
      </c>
      <c r="AC11" s="26">
        <f t="shared" si="9"/>
        <v>74.868732626377025</v>
      </c>
      <c r="AD11" s="26">
        <f t="shared" si="9"/>
        <v>83.563161782812116</v>
      </c>
      <c r="AE11" s="26">
        <f t="shared" si="9"/>
        <v>88.350045578851407</v>
      </c>
      <c r="AF11" s="26">
        <f t="shared" si="9"/>
        <v>87.368421052631589</v>
      </c>
      <c r="AG11" s="26">
        <f t="shared" si="9"/>
        <v>85.863874345549746</v>
      </c>
      <c r="AH11" s="26">
        <f t="shared" si="9"/>
        <v>59.800918836140895</v>
      </c>
      <c r="AI11" s="113"/>
      <c r="AJ11" s="33" t="s">
        <v>20</v>
      </c>
      <c r="AK11" s="26">
        <f>AK10/AK9*100</f>
        <v>315</v>
      </c>
      <c r="AL11" s="26">
        <f>AL10/AL9*100</f>
        <v>553.0612244897959</v>
      </c>
      <c r="AM11" s="26">
        <f>AM10/AM9*100</f>
        <v>806.25</v>
      </c>
      <c r="AN11" s="26">
        <v>0</v>
      </c>
      <c r="AO11" s="26">
        <f>AO10/AO9*100</f>
        <v>0</v>
      </c>
      <c r="AP11" s="26" t="e">
        <f>AP10/AP9*100</f>
        <v>#DIV/0!</v>
      </c>
      <c r="AQ11" s="26">
        <f>AQ10/AQ9*100</f>
        <v>921.42857142857133</v>
      </c>
      <c r="AR11" s="115"/>
    </row>
    <row r="12" spans="1:44">
      <c r="A12" s="474" t="s">
        <v>11</v>
      </c>
      <c r="B12" s="513"/>
      <c r="C12" s="513"/>
      <c r="D12" s="513"/>
      <c r="E12" s="513"/>
      <c r="F12" s="513"/>
      <c r="G12" s="513"/>
      <c r="H12" s="513"/>
      <c r="J12" s="474" t="s">
        <v>11</v>
      </c>
      <c r="K12" s="474"/>
      <c r="L12" s="474"/>
      <c r="M12" s="474"/>
      <c r="N12" s="474"/>
      <c r="O12" s="474"/>
      <c r="P12" s="474"/>
      <c r="Q12" s="474"/>
      <c r="R12" s="474" t="s">
        <v>11</v>
      </c>
      <c r="S12" s="474"/>
      <c r="T12" s="474"/>
      <c r="U12" s="474"/>
      <c r="V12" s="474"/>
      <c r="W12" s="474"/>
      <c r="X12" s="474"/>
      <c r="Y12" s="474"/>
      <c r="Z12" s="296"/>
      <c r="AA12" s="474" t="s">
        <v>11</v>
      </c>
      <c r="AB12" s="474"/>
      <c r="AC12" s="474"/>
      <c r="AD12" s="474"/>
      <c r="AE12" s="474"/>
      <c r="AF12" s="474"/>
      <c r="AG12" s="474"/>
      <c r="AH12" s="474"/>
      <c r="AI12" s="296"/>
      <c r="AJ12" s="461" t="s">
        <v>11</v>
      </c>
      <c r="AK12" s="462"/>
      <c r="AL12" s="462"/>
      <c r="AM12" s="462"/>
      <c r="AN12" s="462"/>
      <c r="AO12" s="462"/>
      <c r="AP12" s="462"/>
      <c r="AQ12" s="463"/>
      <c r="AR12" s="364"/>
    </row>
    <row r="13" spans="1:44">
      <c r="A13" s="248" t="s">
        <v>18</v>
      </c>
      <c r="B13" s="6">
        <f>K13+S13+AK13</f>
        <v>2</v>
      </c>
      <c r="C13" s="6">
        <f>L13+T13+AL13</f>
        <v>27</v>
      </c>
      <c r="D13" s="6">
        <f>E13+F13+G13+H13</f>
        <v>19</v>
      </c>
      <c r="E13" s="6">
        <f t="shared" ref="E13:H14" si="10">N13+V13+AN13</f>
        <v>1</v>
      </c>
      <c r="F13" s="6">
        <f t="shared" si="10"/>
        <v>8</v>
      </c>
      <c r="G13" s="6">
        <f t="shared" si="10"/>
        <v>1</v>
      </c>
      <c r="H13" s="6">
        <f t="shared" si="10"/>
        <v>9</v>
      </c>
      <c r="I13" s="1"/>
      <c r="J13" s="248" t="s">
        <v>18</v>
      </c>
      <c r="K13" s="6">
        <v>1</v>
      </c>
      <c r="L13" s="6">
        <v>16</v>
      </c>
      <c r="M13" s="6">
        <v>11</v>
      </c>
      <c r="N13" s="6">
        <v>1</v>
      </c>
      <c r="O13" s="6">
        <v>6</v>
      </c>
      <c r="P13" s="6">
        <v>1</v>
      </c>
      <c r="Q13" s="6">
        <v>3</v>
      </c>
      <c r="R13" s="248" t="s">
        <v>18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1"/>
      <c r="AA13" s="248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"/>
      <c r="AJ13" s="248" t="s">
        <v>18</v>
      </c>
      <c r="AK13" s="8">
        <v>1</v>
      </c>
      <c r="AL13" s="9">
        <v>11</v>
      </c>
      <c r="AM13" s="9">
        <v>8</v>
      </c>
      <c r="AN13" s="9">
        <v>0</v>
      </c>
      <c r="AO13" s="9">
        <v>2</v>
      </c>
      <c r="AP13" s="9">
        <v>0</v>
      </c>
      <c r="AQ13" s="9">
        <v>6</v>
      </c>
      <c r="AR13" s="364"/>
    </row>
    <row r="14" spans="1:44">
      <c r="A14" s="18" t="s">
        <v>19</v>
      </c>
      <c r="B14" s="6">
        <f>SUM(K14,S14,AK14)</f>
        <v>6.3</v>
      </c>
      <c r="C14" s="6">
        <f>L14+T14+AL14</f>
        <v>271</v>
      </c>
      <c r="D14" s="6">
        <f>E14+F14+G14+H14</f>
        <v>258</v>
      </c>
      <c r="E14" s="6">
        <f t="shared" si="10"/>
        <v>0</v>
      </c>
      <c r="F14" s="6">
        <f t="shared" si="10"/>
        <v>0</v>
      </c>
      <c r="G14" s="6">
        <f t="shared" si="10"/>
        <v>0</v>
      </c>
      <c r="H14" s="6">
        <f t="shared" si="10"/>
        <v>258</v>
      </c>
      <c r="I14" s="1"/>
      <c r="J14" s="18" t="s">
        <v>19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18" t="s">
        <v>19</v>
      </c>
      <c r="S14" s="6"/>
      <c r="T14" s="6"/>
      <c r="U14" s="6">
        <f>V14+W14+X14+Y14</f>
        <v>0</v>
      </c>
      <c r="V14" s="6"/>
      <c r="W14" s="6"/>
      <c r="X14" s="6"/>
      <c r="Y14" s="6"/>
      <c r="Z14" s="1"/>
      <c r="AA14" s="18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1"/>
      <c r="AJ14" s="18" t="s">
        <v>19</v>
      </c>
      <c r="AK14" s="6">
        <v>6.3</v>
      </c>
      <c r="AL14" s="6">
        <v>271</v>
      </c>
      <c r="AM14" s="26">
        <v>258</v>
      </c>
      <c r="AN14" s="6">
        <v>0</v>
      </c>
      <c r="AO14" s="6">
        <v>0</v>
      </c>
      <c r="AP14" s="6">
        <v>0</v>
      </c>
      <c r="AQ14" s="6">
        <v>258</v>
      </c>
      <c r="AR14" s="364"/>
    </row>
    <row r="15" spans="1:44">
      <c r="A15" s="248" t="s">
        <v>20</v>
      </c>
      <c r="B15" s="26">
        <f t="shared" ref="B15:H15" si="11">B14/B13*100</f>
        <v>315</v>
      </c>
      <c r="C15" s="26">
        <f t="shared" si="11"/>
        <v>1003.7037037037036</v>
      </c>
      <c r="D15" s="26">
        <f>D14/D13*100</f>
        <v>1357.8947368421052</v>
      </c>
      <c r="E15" s="26">
        <f t="shared" si="11"/>
        <v>0</v>
      </c>
      <c r="F15" s="26">
        <f t="shared" si="11"/>
        <v>0</v>
      </c>
      <c r="G15" s="26">
        <f t="shared" si="11"/>
        <v>0</v>
      </c>
      <c r="H15" s="26">
        <f t="shared" si="11"/>
        <v>2866.666666666667</v>
      </c>
      <c r="I15" s="113"/>
      <c r="J15" s="248" t="s">
        <v>20</v>
      </c>
      <c r="K15" s="26">
        <f>K14/K13*100</f>
        <v>0</v>
      </c>
      <c r="L15" s="26">
        <f>L14/L13*100</f>
        <v>0</v>
      </c>
      <c r="M15" s="26">
        <f>M14/M13*100</f>
        <v>0</v>
      </c>
      <c r="N15" s="26"/>
      <c r="O15" s="26">
        <f>O14/O13*100</f>
        <v>0</v>
      </c>
      <c r="P15" s="26">
        <f>P14/P13*100</f>
        <v>0</v>
      </c>
      <c r="Q15" s="26">
        <f>Q14/Q13*100</f>
        <v>0</v>
      </c>
      <c r="R15" s="248" t="s">
        <v>20</v>
      </c>
      <c r="S15" s="26" t="e">
        <f t="shared" ref="S15:Y15" si="12">S14/S13*100</f>
        <v>#DIV/0!</v>
      </c>
      <c r="T15" s="26" t="e">
        <f t="shared" si="12"/>
        <v>#DIV/0!</v>
      </c>
      <c r="U15" s="26" t="e">
        <f t="shared" si="12"/>
        <v>#DIV/0!</v>
      </c>
      <c r="V15" s="26" t="e">
        <f t="shared" si="12"/>
        <v>#DIV/0!</v>
      </c>
      <c r="W15" s="26" t="e">
        <f t="shared" si="12"/>
        <v>#DIV/0!</v>
      </c>
      <c r="X15" s="26" t="e">
        <f t="shared" si="12"/>
        <v>#DIV/0!</v>
      </c>
      <c r="Y15" s="26" t="e">
        <f t="shared" si="12"/>
        <v>#DIV/0!</v>
      </c>
      <c r="Z15" s="113"/>
      <c r="AA15" s="248" t="s">
        <v>20</v>
      </c>
      <c r="AB15" s="26" t="e">
        <f t="shared" ref="AB15:AH15" si="13">AB14/AB13*100</f>
        <v>#DIV/0!</v>
      </c>
      <c r="AC15" s="26" t="e">
        <f t="shared" si="13"/>
        <v>#DIV/0!</v>
      </c>
      <c r="AD15" s="26" t="e">
        <f t="shared" si="13"/>
        <v>#DIV/0!</v>
      </c>
      <c r="AE15" s="26" t="e">
        <f t="shared" si="13"/>
        <v>#DIV/0!</v>
      </c>
      <c r="AF15" s="26" t="e">
        <f t="shared" si="13"/>
        <v>#DIV/0!</v>
      </c>
      <c r="AG15" s="26" t="e">
        <f t="shared" si="13"/>
        <v>#DIV/0!</v>
      </c>
      <c r="AH15" s="26" t="e">
        <f t="shared" si="13"/>
        <v>#DIV/0!</v>
      </c>
      <c r="AI15" s="113"/>
      <c r="AJ15" s="248" t="s">
        <v>20</v>
      </c>
      <c r="AK15" s="26">
        <f>AK14/AK13*100</f>
        <v>630</v>
      </c>
      <c r="AL15" s="26">
        <f t="shared" ref="AL15:AQ15" si="14">AL14/AL13*100</f>
        <v>2463.6363636363635</v>
      </c>
      <c r="AM15" s="26">
        <f t="shared" si="14"/>
        <v>3225</v>
      </c>
      <c r="AN15" s="26" t="e">
        <f>AN14/AN13*100</f>
        <v>#DIV/0!</v>
      </c>
      <c r="AO15" s="26">
        <f t="shared" si="14"/>
        <v>0</v>
      </c>
      <c r="AP15" s="26" t="e">
        <f t="shared" si="14"/>
        <v>#DIV/0!</v>
      </c>
      <c r="AQ15" s="26">
        <f t="shared" si="14"/>
        <v>4300</v>
      </c>
      <c r="AR15" s="364"/>
    </row>
    <row r="16" spans="1:44">
      <c r="A16" s="6" t="s">
        <v>13</v>
      </c>
      <c r="B16" s="6">
        <f t="shared" ref="B16:C18" si="15">K16+S16+AK16</f>
        <v>0</v>
      </c>
      <c r="C16" s="6">
        <f t="shared" si="15"/>
        <v>51</v>
      </c>
      <c r="D16" s="6">
        <f>E16+F16+G16+H16</f>
        <v>49</v>
      </c>
      <c r="E16" s="6">
        <f t="shared" ref="E16:H18" si="16">N16+V16+AN16</f>
        <v>0</v>
      </c>
      <c r="F16" s="6">
        <f t="shared" si="16"/>
        <v>0</v>
      </c>
      <c r="G16" s="6">
        <f t="shared" si="16"/>
        <v>0</v>
      </c>
      <c r="H16" s="6">
        <f t="shared" si="16"/>
        <v>49</v>
      </c>
      <c r="I16" s="1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Z16" s="1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"/>
      <c r="AJ16" s="6" t="s">
        <v>13</v>
      </c>
      <c r="AK16" s="6"/>
      <c r="AL16" s="6">
        <v>51</v>
      </c>
      <c r="AM16" s="6">
        <v>49</v>
      </c>
      <c r="AN16" s="6"/>
      <c r="AO16" s="6"/>
      <c r="AP16" s="6"/>
      <c r="AQ16" s="6">
        <v>49</v>
      </c>
      <c r="AR16" s="364"/>
    </row>
    <row r="17" spans="1:44">
      <c r="A17" s="6" t="s">
        <v>14</v>
      </c>
      <c r="B17" s="6">
        <f t="shared" si="15"/>
        <v>0</v>
      </c>
      <c r="C17" s="6">
        <f t="shared" si="15"/>
        <v>0</v>
      </c>
      <c r="D17" s="6">
        <f>E17+F17+G17+H17</f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I17" s="1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  <c r="AR17" s="364"/>
    </row>
    <row r="18" spans="1:44">
      <c r="A18" s="6" t="s">
        <v>15</v>
      </c>
      <c r="B18" s="6">
        <f t="shared" si="15"/>
        <v>0</v>
      </c>
      <c r="C18" s="6">
        <f t="shared" si="15"/>
        <v>0</v>
      </c>
      <c r="D18" s="6">
        <f>E18+F18+G18+H18</f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I18" s="1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4">
      <c r="A19" s="474" t="s">
        <v>16</v>
      </c>
      <c r="B19" s="513"/>
      <c r="C19" s="513"/>
      <c r="D19" s="513"/>
      <c r="E19" s="513"/>
      <c r="F19" s="513"/>
      <c r="G19" s="513"/>
      <c r="H19" s="513"/>
      <c r="J19" s="474" t="s">
        <v>16</v>
      </c>
      <c r="K19" s="474"/>
      <c r="L19" s="474"/>
      <c r="M19" s="474"/>
      <c r="N19" s="474"/>
      <c r="O19" s="474"/>
      <c r="P19" s="474"/>
      <c r="Q19" s="474"/>
      <c r="R19" s="474" t="s">
        <v>16</v>
      </c>
      <c r="S19" s="474"/>
      <c r="T19" s="474"/>
      <c r="U19" s="474"/>
      <c r="V19" s="474"/>
      <c r="W19" s="474"/>
      <c r="X19" s="474"/>
      <c r="Y19" s="474"/>
      <c r="Z19" s="296"/>
      <c r="AA19" s="474" t="s">
        <v>16</v>
      </c>
      <c r="AB19" s="474"/>
      <c r="AC19" s="474"/>
      <c r="AD19" s="474"/>
      <c r="AE19" s="474"/>
      <c r="AF19" s="474"/>
      <c r="AG19" s="474"/>
      <c r="AH19" s="474"/>
      <c r="AI19" s="296"/>
      <c r="AJ19" s="461" t="s">
        <v>16</v>
      </c>
      <c r="AK19" s="462"/>
      <c r="AL19" s="462"/>
      <c r="AM19" s="462"/>
      <c r="AN19" s="462"/>
      <c r="AO19" s="462"/>
      <c r="AP19" s="462"/>
      <c r="AQ19" s="463"/>
    </row>
    <row r="20" spans="1:44">
      <c r="A20" s="248" t="s">
        <v>18</v>
      </c>
      <c r="B20" s="6">
        <f>B23+B26+B29+B32+B35+B38</f>
        <v>147</v>
      </c>
      <c r="C20" s="6">
        <f t="shared" ref="C20:H21" si="17">C23+C26+C29+C32+C35+C38</f>
        <v>13972</v>
      </c>
      <c r="D20" s="6">
        <f t="shared" si="17"/>
        <v>11687</v>
      </c>
      <c r="E20" s="6">
        <f t="shared" si="17"/>
        <v>5521</v>
      </c>
      <c r="F20" s="6">
        <f t="shared" si="17"/>
        <v>2095</v>
      </c>
      <c r="G20" s="6">
        <f t="shared" si="17"/>
        <v>646</v>
      </c>
      <c r="H20" s="6">
        <f t="shared" si="17"/>
        <v>3425</v>
      </c>
      <c r="I20" s="1"/>
      <c r="J20" s="248" t="s">
        <v>18</v>
      </c>
      <c r="K20" s="27">
        <f>SUM(,K38,K35,K32,K29,K26,K23,)</f>
        <v>4</v>
      </c>
      <c r="L20" s="6">
        <f t="shared" ref="L20:Q20" si="18">L23+L26+L29+L32+L35+L38</f>
        <v>105</v>
      </c>
      <c r="M20" s="6">
        <f t="shared" si="18"/>
        <v>85</v>
      </c>
      <c r="N20" s="6">
        <f t="shared" si="18"/>
        <v>17</v>
      </c>
      <c r="O20" s="6">
        <f t="shared" si="18"/>
        <v>28</v>
      </c>
      <c r="P20" s="6">
        <f t="shared" si="18"/>
        <v>5</v>
      </c>
      <c r="Q20" s="6">
        <f t="shared" si="18"/>
        <v>35</v>
      </c>
      <c r="R20" s="248" t="s">
        <v>18</v>
      </c>
      <c r="S20" s="6">
        <f t="shared" ref="S20:Y21" si="19">S23+S26+S29+S32+S35+S38</f>
        <v>142</v>
      </c>
      <c r="T20" s="6">
        <f t="shared" si="19"/>
        <v>13829</v>
      </c>
      <c r="U20" s="6">
        <f t="shared" si="19"/>
        <v>11578</v>
      </c>
      <c r="V20" s="6">
        <f t="shared" si="19"/>
        <v>5504</v>
      </c>
      <c r="W20" s="6">
        <f t="shared" si="19"/>
        <v>2065</v>
      </c>
      <c r="X20" s="6">
        <f t="shared" si="19"/>
        <v>641</v>
      </c>
      <c r="Y20" s="6">
        <f t="shared" si="19"/>
        <v>3368</v>
      </c>
      <c r="Z20" s="1"/>
      <c r="AA20" s="248" t="s">
        <v>18</v>
      </c>
      <c r="AB20" s="27">
        <f>AB23+AB26+AB29+AB32+AB35+AB38</f>
        <v>46</v>
      </c>
      <c r="AC20" s="6">
        <f t="shared" ref="AC20:AH21" si="20">AC23+AC26+AC29+AC32+AC35+AC38</f>
        <v>9713</v>
      </c>
      <c r="AD20" s="6">
        <f t="shared" si="20"/>
        <v>8122</v>
      </c>
      <c r="AE20" s="6">
        <f t="shared" si="20"/>
        <v>5485</v>
      </c>
      <c r="AF20" s="6">
        <f t="shared" si="20"/>
        <v>1140</v>
      </c>
      <c r="AG20" s="6">
        <f t="shared" si="20"/>
        <v>191</v>
      </c>
      <c r="AH20" s="6">
        <f t="shared" si="20"/>
        <v>1306</v>
      </c>
      <c r="AI20" s="1"/>
      <c r="AJ20" s="248" t="s">
        <v>18</v>
      </c>
      <c r="AK20" s="6">
        <f>AK23+AK26+AK29+AK32+AK35+AK38</f>
        <v>1</v>
      </c>
      <c r="AL20" s="6">
        <f t="shared" ref="AK20:AQ21" si="21">AL23+AL26+AL29+AL32+AL35+AL38</f>
        <v>38</v>
      </c>
      <c r="AM20" s="6">
        <f t="shared" si="21"/>
        <v>24</v>
      </c>
      <c r="AN20" s="6">
        <f t="shared" si="21"/>
        <v>0</v>
      </c>
      <c r="AO20" s="6">
        <f t="shared" si="21"/>
        <v>2</v>
      </c>
      <c r="AP20" s="6">
        <f t="shared" si="21"/>
        <v>0</v>
      </c>
      <c r="AQ20" s="6">
        <f t="shared" si="21"/>
        <v>22</v>
      </c>
    </row>
    <row r="21" spans="1:44">
      <c r="A21" s="18" t="s">
        <v>19</v>
      </c>
      <c r="B21" s="6">
        <f>B24+B27+B30+B33+B36+B39</f>
        <v>57.600000000000009</v>
      </c>
      <c r="C21" s="6">
        <f t="shared" si="17"/>
        <v>8957</v>
      </c>
      <c r="D21" s="6">
        <f t="shared" si="17"/>
        <v>8374</v>
      </c>
      <c r="E21" s="6">
        <f t="shared" si="17"/>
        <v>4965</v>
      </c>
      <c r="F21" s="6">
        <f t="shared" si="17"/>
        <v>1145</v>
      </c>
      <c r="G21" s="6">
        <f t="shared" si="17"/>
        <v>200</v>
      </c>
      <c r="H21" s="6">
        <f t="shared" si="17"/>
        <v>2064</v>
      </c>
      <c r="I21" s="1"/>
      <c r="J21" s="18" t="s">
        <v>19</v>
      </c>
      <c r="K21" s="6"/>
      <c r="L21" s="6"/>
      <c r="M21" s="6"/>
      <c r="N21" s="6"/>
      <c r="O21" s="6"/>
      <c r="P21" s="6"/>
      <c r="Q21" s="6"/>
      <c r="R21" s="18" t="s">
        <v>19</v>
      </c>
      <c r="S21" s="27">
        <f>S24+S27+S30+S33+S36+S39</f>
        <v>57.600000000000009</v>
      </c>
      <c r="T21" s="27">
        <f t="shared" si="19"/>
        <v>8957</v>
      </c>
      <c r="U21" s="27">
        <f t="shared" si="19"/>
        <v>8374</v>
      </c>
      <c r="V21" s="27">
        <f t="shared" si="19"/>
        <v>4965</v>
      </c>
      <c r="W21" s="27">
        <f t="shared" si="19"/>
        <v>1145</v>
      </c>
      <c r="X21" s="27">
        <f t="shared" si="19"/>
        <v>200</v>
      </c>
      <c r="Y21" s="27">
        <f t="shared" si="19"/>
        <v>2064</v>
      </c>
      <c r="Z21" s="1"/>
      <c r="AA21" s="18" t="s">
        <v>19</v>
      </c>
      <c r="AB21" s="27">
        <f>AB24+AB27+AB30+AB33+AB36+AB39</f>
        <v>28.6</v>
      </c>
      <c r="AC21" s="27">
        <f t="shared" si="20"/>
        <v>7272</v>
      </c>
      <c r="AD21" s="27">
        <f t="shared" si="20"/>
        <v>6787</v>
      </c>
      <c r="AE21" s="27">
        <f t="shared" si="20"/>
        <v>4846</v>
      </c>
      <c r="AF21" s="27">
        <f t="shared" si="20"/>
        <v>996</v>
      </c>
      <c r="AG21" s="27">
        <f t="shared" si="20"/>
        <v>164</v>
      </c>
      <c r="AH21" s="27">
        <f t="shared" si="20"/>
        <v>781</v>
      </c>
      <c r="AI21" s="1"/>
      <c r="AJ21" s="18" t="s">
        <v>19</v>
      </c>
      <c r="AK21" s="6">
        <f t="shared" si="21"/>
        <v>0</v>
      </c>
      <c r="AL21" s="6">
        <f t="shared" si="21"/>
        <v>0</v>
      </c>
      <c r="AM21" s="6">
        <f t="shared" si="21"/>
        <v>0</v>
      </c>
      <c r="AN21" s="6">
        <f t="shared" si="21"/>
        <v>0</v>
      </c>
      <c r="AO21" s="6">
        <f t="shared" si="21"/>
        <v>0</v>
      </c>
      <c r="AP21" s="6">
        <f t="shared" si="21"/>
        <v>0</v>
      </c>
      <c r="AQ21" s="6">
        <f t="shared" si="21"/>
        <v>0</v>
      </c>
      <c r="AR21" s="364"/>
    </row>
    <row r="22" spans="1:44">
      <c r="A22" s="248" t="s">
        <v>20</v>
      </c>
      <c r="B22" s="26">
        <f t="shared" ref="B22:H22" si="22">B21/B20*100</f>
        <v>39.183673469387756</v>
      </c>
      <c r="C22" s="26">
        <f t="shared" si="22"/>
        <v>64.106784998568571</v>
      </c>
      <c r="D22" s="26">
        <f t="shared" si="22"/>
        <v>71.652263198425601</v>
      </c>
      <c r="E22" s="26">
        <f t="shared" si="22"/>
        <v>89.929360623075524</v>
      </c>
      <c r="F22" s="26">
        <f t="shared" si="22"/>
        <v>54.653937947494036</v>
      </c>
      <c r="G22" s="26">
        <f t="shared" si="22"/>
        <v>30.959752321981426</v>
      </c>
      <c r="H22" s="26">
        <f t="shared" si="22"/>
        <v>60.262773722627742</v>
      </c>
      <c r="I22" s="113"/>
      <c r="J22" s="248" t="s">
        <v>20</v>
      </c>
      <c r="K22" s="26">
        <f t="shared" ref="K22:Q22" si="23">K21/K20*100</f>
        <v>0</v>
      </c>
      <c r="L22" s="26">
        <f t="shared" si="23"/>
        <v>0</v>
      </c>
      <c r="M22" s="26">
        <f t="shared" si="23"/>
        <v>0</v>
      </c>
      <c r="N22" s="26">
        <f t="shared" si="23"/>
        <v>0</v>
      </c>
      <c r="O22" s="26">
        <f t="shared" si="23"/>
        <v>0</v>
      </c>
      <c r="P22" s="26">
        <f t="shared" si="23"/>
        <v>0</v>
      </c>
      <c r="Q22" s="26">
        <f t="shared" si="23"/>
        <v>0</v>
      </c>
      <c r="R22" s="248" t="s">
        <v>20</v>
      </c>
      <c r="S22" s="26">
        <f t="shared" ref="S22:Y22" si="24">S21/S20*100</f>
        <v>40.563380281690151</v>
      </c>
      <c r="T22" s="26">
        <f t="shared" si="24"/>
        <v>64.769686889869121</v>
      </c>
      <c r="U22" s="26">
        <f t="shared" si="24"/>
        <v>72.326826740369668</v>
      </c>
      <c r="V22" s="26">
        <f t="shared" si="24"/>
        <v>90.207122093023244</v>
      </c>
      <c r="W22" s="26">
        <f t="shared" si="24"/>
        <v>55.447941888619859</v>
      </c>
      <c r="X22" s="26">
        <f t="shared" si="24"/>
        <v>31.201248049921997</v>
      </c>
      <c r="Y22" s="26">
        <f t="shared" si="24"/>
        <v>61.282660332541575</v>
      </c>
      <c r="Z22" s="113"/>
      <c r="AA22" s="248" t="s">
        <v>20</v>
      </c>
      <c r="AB22" s="26">
        <f t="shared" ref="AB22:AH22" si="25">AB21/AB20*100</f>
        <v>62.173913043478265</v>
      </c>
      <c r="AC22" s="26">
        <f t="shared" si="25"/>
        <v>74.868732626377025</v>
      </c>
      <c r="AD22" s="26">
        <f t="shared" si="25"/>
        <v>83.563161782812116</v>
      </c>
      <c r="AE22" s="26">
        <f t="shared" si="25"/>
        <v>88.350045578851407</v>
      </c>
      <c r="AF22" s="26">
        <f t="shared" si="25"/>
        <v>87.368421052631589</v>
      </c>
      <c r="AG22" s="26">
        <f t="shared" si="25"/>
        <v>85.863874345549746</v>
      </c>
      <c r="AH22" s="26">
        <f t="shared" si="25"/>
        <v>59.800918836140895</v>
      </c>
      <c r="AI22" s="113"/>
      <c r="AJ22" s="248" t="s">
        <v>20</v>
      </c>
      <c r="AK22" s="26">
        <f t="shared" ref="AK22:AQ22" si="26">AK21/AK20*100</f>
        <v>0</v>
      </c>
      <c r="AL22" s="26">
        <f t="shared" si="26"/>
        <v>0</v>
      </c>
      <c r="AM22" s="26">
        <f t="shared" si="26"/>
        <v>0</v>
      </c>
      <c r="AN22" s="26" t="e">
        <f t="shared" si="26"/>
        <v>#DIV/0!</v>
      </c>
      <c r="AO22" s="26">
        <f t="shared" si="26"/>
        <v>0</v>
      </c>
      <c r="AP22" s="26" t="e">
        <f t="shared" si="26"/>
        <v>#DIV/0!</v>
      </c>
      <c r="AQ22" s="26">
        <f t="shared" si="26"/>
        <v>0</v>
      </c>
    </row>
    <row r="23" spans="1:44">
      <c r="A23" s="6" t="s">
        <v>21</v>
      </c>
      <c r="B23" s="27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7">N23+V23+AN23</f>
        <v>0</v>
      </c>
      <c r="F23" s="6">
        <f t="shared" si="27"/>
        <v>0</v>
      </c>
      <c r="G23" s="6">
        <f t="shared" si="27"/>
        <v>0</v>
      </c>
      <c r="H23" s="6">
        <f t="shared" si="27"/>
        <v>0</v>
      </c>
      <c r="I23" s="1"/>
      <c r="J23" s="6" t="s">
        <v>21</v>
      </c>
      <c r="K23" s="6">
        <v>0</v>
      </c>
      <c r="L23" s="6">
        <v>0</v>
      </c>
      <c r="M23" s="6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6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Z23" s="1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I23" s="1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4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7"/>
        <v>0</v>
      </c>
      <c r="F24" s="6">
        <f t="shared" si="27"/>
        <v>0</v>
      </c>
      <c r="G24" s="6">
        <f t="shared" si="27"/>
        <v>0</v>
      </c>
      <c r="H24" s="6">
        <f t="shared" si="27"/>
        <v>0</v>
      </c>
      <c r="I24" s="1"/>
      <c r="J24" s="6" t="s">
        <v>22</v>
      </c>
      <c r="K24" s="6">
        <v>0</v>
      </c>
      <c r="L24" s="6">
        <v>0</v>
      </c>
      <c r="M24" s="6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1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I24" s="1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4">
      <c r="A25" s="6" t="s">
        <v>12</v>
      </c>
      <c r="B25" s="26" t="e">
        <f t="shared" ref="B25:H25" si="28">B24/B23*100</f>
        <v>#DIV/0!</v>
      </c>
      <c r="C25" s="26" t="e">
        <f t="shared" si="28"/>
        <v>#DIV/0!</v>
      </c>
      <c r="D25" s="26" t="e">
        <f t="shared" si="28"/>
        <v>#DIV/0!</v>
      </c>
      <c r="E25" s="26" t="e">
        <f t="shared" si="28"/>
        <v>#DIV/0!</v>
      </c>
      <c r="F25" s="26" t="e">
        <f t="shared" si="28"/>
        <v>#DIV/0!</v>
      </c>
      <c r="G25" s="26" t="e">
        <f t="shared" si="28"/>
        <v>#DIV/0!</v>
      </c>
      <c r="H25" s="26" t="e">
        <f t="shared" si="28"/>
        <v>#DIV/0!</v>
      </c>
      <c r="I25" s="113"/>
      <c r="J25" s="6" t="s">
        <v>12</v>
      </c>
      <c r="K25" s="26" t="e">
        <f t="shared" ref="K25:Q25" si="29">K24/K23*100</f>
        <v>#DIV/0!</v>
      </c>
      <c r="L25" s="26" t="e">
        <f t="shared" si="29"/>
        <v>#DIV/0!</v>
      </c>
      <c r="M25" s="26" t="e">
        <f t="shared" si="29"/>
        <v>#DIV/0!</v>
      </c>
      <c r="N25" s="26" t="e">
        <f t="shared" si="29"/>
        <v>#DIV/0!</v>
      </c>
      <c r="O25" s="26" t="e">
        <f t="shared" si="29"/>
        <v>#DIV/0!</v>
      </c>
      <c r="P25" s="26" t="e">
        <f t="shared" si="29"/>
        <v>#DIV/0!</v>
      </c>
      <c r="Q25" s="26" t="e">
        <f t="shared" si="29"/>
        <v>#DIV/0!</v>
      </c>
      <c r="R25" s="6" t="s">
        <v>12</v>
      </c>
      <c r="S25" s="26" t="e">
        <f t="shared" ref="S25:Y25" si="30">S24/S23*100</f>
        <v>#DIV/0!</v>
      </c>
      <c r="T25" s="26" t="e">
        <f t="shared" si="30"/>
        <v>#DIV/0!</v>
      </c>
      <c r="U25" s="26" t="e">
        <f t="shared" si="30"/>
        <v>#DIV/0!</v>
      </c>
      <c r="V25" s="26" t="e">
        <f t="shared" si="30"/>
        <v>#DIV/0!</v>
      </c>
      <c r="W25" s="26" t="e">
        <f t="shared" si="30"/>
        <v>#DIV/0!</v>
      </c>
      <c r="X25" s="26" t="e">
        <f t="shared" si="30"/>
        <v>#DIV/0!</v>
      </c>
      <c r="Y25" s="26" t="e">
        <f t="shared" si="30"/>
        <v>#DIV/0!</v>
      </c>
      <c r="Z25" s="113"/>
      <c r="AA25" s="6" t="s">
        <v>12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113"/>
      <c r="AJ25" s="6" t="s">
        <v>12</v>
      </c>
      <c r="AK25" s="26" t="e">
        <f t="shared" ref="AK25:AQ25" si="31">AK24/AK23*100</f>
        <v>#DIV/0!</v>
      </c>
      <c r="AL25" s="26" t="e">
        <f t="shared" si="31"/>
        <v>#DIV/0!</v>
      </c>
      <c r="AM25" s="26" t="e">
        <f t="shared" si="31"/>
        <v>#DIV/0!</v>
      </c>
      <c r="AN25" s="26" t="e">
        <f t="shared" si="31"/>
        <v>#DIV/0!</v>
      </c>
      <c r="AO25" s="26" t="e">
        <f t="shared" si="31"/>
        <v>#DIV/0!</v>
      </c>
      <c r="AP25" s="26" t="e">
        <f t="shared" si="31"/>
        <v>#DIV/0!</v>
      </c>
      <c r="AQ25" s="26" t="e">
        <f t="shared" si="31"/>
        <v>#DIV/0!</v>
      </c>
    </row>
    <row r="26" spans="1:44">
      <c r="A26" s="6" t="s">
        <v>23</v>
      </c>
      <c r="B26" s="6">
        <f>K26+S26+AK26</f>
        <v>1</v>
      </c>
      <c r="C26" s="6">
        <f>L26+T26+AL26</f>
        <v>5</v>
      </c>
      <c r="D26" s="6">
        <f>E26+F26+G26+H26</f>
        <v>4</v>
      </c>
      <c r="E26" s="6">
        <f t="shared" ref="E26:H27" si="32">N26+V26+AN26</f>
        <v>2</v>
      </c>
      <c r="F26" s="6">
        <f t="shared" si="32"/>
        <v>1</v>
      </c>
      <c r="G26" s="6">
        <f t="shared" si="32"/>
        <v>0</v>
      </c>
      <c r="H26" s="6">
        <f t="shared" si="32"/>
        <v>1</v>
      </c>
      <c r="I26" s="1"/>
      <c r="J26" s="6" t="s">
        <v>23</v>
      </c>
      <c r="K26" s="27">
        <v>1</v>
      </c>
      <c r="L26" s="6">
        <v>5</v>
      </c>
      <c r="M26" s="6">
        <v>4</v>
      </c>
      <c r="N26" s="6">
        <v>2</v>
      </c>
      <c r="O26" s="6">
        <v>1</v>
      </c>
      <c r="P26" s="6">
        <v>0</v>
      </c>
      <c r="Q26" s="6">
        <v>1</v>
      </c>
      <c r="R26" s="6" t="s">
        <v>23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1"/>
      <c r="AA26" s="6" t="s">
        <v>23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1"/>
      <c r="AJ26" s="6" t="s">
        <v>23</v>
      </c>
      <c r="AK26" s="8">
        <v>0</v>
      </c>
      <c r="AL26" s="9">
        <v>0</v>
      </c>
      <c r="AM26" s="9">
        <v>0</v>
      </c>
      <c r="AN26" s="9"/>
      <c r="AO26" s="9"/>
      <c r="AP26" s="9">
        <v>0</v>
      </c>
      <c r="AQ26" s="9">
        <v>0</v>
      </c>
    </row>
    <row r="27" spans="1:44">
      <c r="A27" s="6" t="s">
        <v>24</v>
      </c>
      <c r="B27" s="6">
        <f>K27+S27+AK27</f>
        <v>0</v>
      </c>
      <c r="C27" s="6">
        <f>L27+T27+AL27</f>
        <v>0</v>
      </c>
      <c r="D27" s="6">
        <f>E27+F27+G27+H27</f>
        <v>0</v>
      </c>
      <c r="E27" s="6">
        <f t="shared" si="32"/>
        <v>0</v>
      </c>
      <c r="F27" s="6">
        <f t="shared" si="32"/>
        <v>0</v>
      </c>
      <c r="G27" s="6">
        <f t="shared" si="32"/>
        <v>0</v>
      </c>
      <c r="H27" s="6">
        <f t="shared" si="32"/>
        <v>0</v>
      </c>
      <c r="I27" s="1"/>
      <c r="J27" s="6" t="s">
        <v>24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 t="s">
        <v>24</v>
      </c>
      <c r="S27" s="6">
        <v>0</v>
      </c>
      <c r="T27" s="6">
        <v>0</v>
      </c>
      <c r="U27" s="6">
        <f>V27+W27+X27+Y27</f>
        <v>0</v>
      </c>
      <c r="V27" s="6">
        <v>0</v>
      </c>
      <c r="W27" s="6">
        <v>0</v>
      </c>
      <c r="X27" s="6">
        <v>0</v>
      </c>
      <c r="Y27" s="6">
        <v>0</v>
      </c>
      <c r="Z27" s="1"/>
      <c r="AA27" s="6" t="s">
        <v>24</v>
      </c>
      <c r="AB27" s="6"/>
      <c r="AC27" s="6"/>
      <c r="AD27" s="6">
        <f>AE27+AF27+AG27+AH27</f>
        <v>0</v>
      </c>
      <c r="AE27" s="6"/>
      <c r="AF27" s="6"/>
      <c r="AG27" s="6"/>
      <c r="AH27" s="6"/>
      <c r="AI27" s="1"/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4">
      <c r="A28" s="6" t="s">
        <v>12</v>
      </c>
      <c r="B28" s="26">
        <f t="shared" ref="B28:H28" si="33">B27/B26*100</f>
        <v>0</v>
      </c>
      <c r="C28" s="26">
        <f t="shared" si="33"/>
        <v>0</v>
      </c>
      <c r="D28" s="26">
        <f t="shared" si="33"/>
        <v>0</v>
      </c>
      <c r="E28" s="26">
        <f t="shared" si="33"/>
        <v>0</v>
      </c>
      <c r="F28" s="26">
        <f t="shared" si="33"/>
        <v>0</v>
      </c>
      <c r="G28" s="26" t="e">
        <f t="shared" si="33"/>
        <v>#DIV/0!</v>
      </c>
      <c r="H28" s="26">
        <f t="shared" si="33"/>
        <v>0</v>
      </c>
      <c r="I28" s="113"/>
      <c r="J28" s="6" t="s">
        <v>12</v>
      </c>
      <c r="K28" s="26">
        <f t="shared" ref="K28:Q28" si="34">K27/K26*100</f>
        <v>0</v>
      </c>
      <c r="L28" s="26">
        <f t="shared" si="34"/>
        <v>0</v>
      </c>
      <c r="M28" s="26">
        <f t="shared" si="34"/>
        <v>0</v>
      </c>
      <c r="N28" s="26">
        <f t="shared" si="34"/>
        <v>0</v>
      </c>
      <c r="O28" s="26">
        <f t="shared" si="34"/>
        <v>0</v>
      </c>
      <c r="P28" s="26" t="e">
        <f t="shared" si="34"/>
        <v>#DIV/0!</v>
      </c>
      <c r="Q28" s="26">
        <f t="shared" si="34"/>
        <v>0</v>
      </c>
      <c r="R28" s="6" t="s">
        <v>12</v>
      </c>
      <c r="S28" s="26" t="e">
        <f t="shared" ref="S28:Y28" si="35">S27/S26*100</f>
        <v>#DIV/0!</v>
      </c>
      <c r="T28" s="26" t="e">
        <f t="shared" si="35"/>
        <v>#DIV/0!</v>
      </c>
      <c r="U28" s="26" t="e">
        <f t="shared" si="35"/>
        <v>#DIV/0!</v>
      </c>
      <c r="V28" s="26" t="e">
        <f t="shared" si="35"/>
        <v>#DIV/0!</v>
      </c>
      <c r="W28" s="26" t="e">
        <f t="shared" si="35"/>
        <v>#DIV/0!</v>
      </c>
      <c r="X28" s="26" t="e">
        <f t="shared" si="35"/>
        <v>#DIV/0!</v>
      </c>
      <c r="Y28" s="26" t="e">
        <f t="shared" si="35"/>
        <v>#DIV/0!</v>
      </c>
      <c r="Z28" s="113"/>
      <c r="AA28" s="6" t="s">
        <v>12</v>
      </c>
      <c r="AB28" s="26"/>
      <c r="AC28" s="26"/>
      <c r="AD28" s="26"/>
      <c r="AE28" s="26"/>
      <c r="AF28" s="26"/>
      <c r="AG28" s="26"/>
      <c r="AH28" s="26"/>
      <c r="AI28" s="113"/>
      <c r="AJ28" s="6" t="s">
        <v>12</v>
      </c>
      <c r="AK28" s="26" t="e">
        <f t="shared" ref="AK28:AQ28" si="36">AK27/AK26*100</f>
        <v>#DIV/0!</v>
      </c>
      <c r="AL28" s="26" t="e">
        <f t="shared" si="36"/>
        <v>#DIV/0!</v>
      </c>
      <c r="AM28" s="26" t="e">
        <f t="shared" si="36"/>
        <v>#DIV/0!</v>
      </c>
      <c r="AN28" s="26" t="e">
        <f t="shared" si="36"/>
        <v>#DIV/0!</v>
      </c>
      <c r="AO28" s="26" t="e">
        <f t="shared" si="36"/>
        <v>#DIV/0!</v>
      </c>
      <c r="AP28" s="26" t="e">
        <f t="shared" si="36"/>
        <v>#DIV/0!</v>
      </c>
      <c r="AQ28" s="26" t="e">
        <f t="shared" si="36"/>
        <v>#DIV/0!</v>
      </c>
    </row>
    <row r="29" spans="1:44">
      <c r="A29" s="6" t="s">
        <v>25</v>
      </c>
      <c r="B29" s="6">
        <f>K29+S29+AK29</f>
        <v>0</v>
      </c>
      <c r="C29" s="6">
        <f>L29+T29+AL29</f>
        <v>0</v>
      </c>
      <c r="D29" s="6">
        <f>E29+F29+G29+H29</f>
        <v>0</v>
      </c>
      <c r="E29" s="6">
        <f t="shared" ref="E29:H30" si="37">N29+V29+AN29</f>
        <v>0</v>
      </c>
      <c r="F29" s="6">
        <f t="shared" si="37"/>
        <v>0</v>
      </c>
      <c r="G29" s="6">
        <f t="shared" si="37"/>
        <v>0</v>
      </c>
      <c r="H29" s="6">
        <f t="shared" si="37"/>
        <v>0</v>
      </c>
      <c r="I29" s="1"/>
      <c r="J29" s="6" t="s">
        <v>25</v>
      </c>
      <c r="K29" s="27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 t="s">
        <v>25</v>
      </c>
      <c r="S29" s="6">
        <v>0</v>
      </c>
      <c r="T29" s="6">
        <v>0</v>
      </c>
      <c r="U29" s="6">
        <f>V29+W29+X29+Y29</f>
        <v>0</v>
      </c>
      <c r="V29" s="6">
        <v>0</v>
      </c>
      <c r="W29" s="6">
        <v>0</v>
      </c>
      <c r="X29" s="6">
        <v>0</v>
      </c>
      <c r="Y29" s="6">
        <v>0</v>
      </c>
      <c r="Z29" s="1"/>
      <c r="AA29" s="6" t="s">
        <v>25</v>
      </c>
      <c r="AB29" s="6"/>
      <c r="AC29" s="6"/>
      <c r="AD29" s="6">
        <f>AE29+AF29+AG29+AH29</f>
        <v>0</v>
      </c>
      <c r="AE29" s="6"/>
      <c r="AF29" s="6"/>
      <c r="AG29" s="6"/>
      <c r="AH29" s="6"/>
      <c r="AI29" s="1"/>
      <c r="AJ29" s="6" t="s">
        <v>25</v>
      </c>
      <c r="AK29" s="6"/>
      <c r="AL29" s="6"/>
      <c r="AM29" s="6">
        <f>AN29+AO29+AP29+AQ29</f>
        <v>0</v>
      </c>
      <c r="AN29" s="6"/>
      <c r="AO29" s="6"/>
      <c r="AP29" s="6"/>
      <c r="AQ29" s="6"/>
    </row>
    <row r="30" spans="1:44">
      <c r="A30" s="6" t="s">
        <v>26</v>
      </c>
      <c r="B30" s="6">
        <f>K30+S30+AK30</f>
        <v>0</v>
      </c>
      <c r="C30" s="6">
        <f>L30+T30+AL30</f>
        <v>0</v>
      </c>
      <c r="D30" s="6">
        <f>E30+F30+G30+H30</f>
        <v>0</v>
      </c>
      <c r="E30" s="6">
        <f t="shared" si="37"/>
        <v>0</v>
      </c>
      <c r="F30" s="6">
        <f t="shared" si="37"/>
        <v>0</v>
      </c>
      <c r="G30" s="6">
        <f t="shared" si="37"/>
        <v>0</v>
      </c>
      <c r="H30" s="6">
        <f t="shared" si="37"/>
        <v>0</v>
      </c>
      <c r="I30" s="1"/>
      <c r="J30" s="6" t="s">
        <v>26</v>
      </c>
      <c r="K30" s="6">
        <v>0</v>
      </c>
      <c r="L30" s="6">
        <v>0</v>
      </c>
      <c r="M30" s="6">
        <f>N30+O30+P30+Q30</f>
        <v>0</v>
      </c>
      <c r="N30" s="6">
        <v>0</v>
      </c>
      <c r="O30" s="6">
        <v>0</v>
      </c>
      <c r="P30" s="6">
        <v>0</v>
      </c>
      <c r="Q30" s="6">
        <v>0</v>
      </c>
      <c r="R30" s="6" t="s">
        <v>26</v>
      </c>
      <c r="S30" s="27">
        <v>0</v>
      </c>
      <c r="T30" s="6">
        <v>0</v>
      </c>
      <c r="U30" s="6">
        <f>V30+W30+X30+Y30</f>
        <v>0</v>
      </c>
      <c r="V30" s="6">
        <v>0</v>
      </c>
      <c r="W30" s="6">
        <v>0</v>
      </c>
      <c r="X30" s="6">
        <v>0</v>
      </c>
      <c r="Y30" s="6">
        <v>0</v>
      </c>
      <c r="Z30" s="1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4">
      <c r="A31" s="6" t="s">
        <v>12</v>
      </c>
      <c r="B31" s="26" t="e">
        <f t="shared" ref="B31:H31" si="38">B30/B29*100</f>
        <v>#DIV/0!</v>
      </c>
      <c r="C31" s="26" t="e">
        <f t="shared" si="38"/>
        <v>#DIV/0!</v>
      </c>
      <c r="D31" s="26" t="e">
        <f t="shared" si="38"/>
        <v>#DIV/0!</v>
      </c>
      <c r="E31" s="26" t="e">
        <f t="shared" si="38"/>
        <v>#DIV/0!</v>
      </c>
      <c r="F31" s="26" t="e">
        <f t="shared" si="38"/>
        <v>#DIV/0!</v>
      </c>
      <c r="G31" s="26" t="e">
        <f t="shared" si="38"/>
        <v>#DIV/0!</v>
      </c>
      <c r="H31" s="26" t="e">
        <f t="shared" si="38"/>
        <v>#DIV/0!</v>
      </c>
      <c r="I31" s="113"/>
      <c r="J31" s="6" t="s">
        <v>12</v>
      </c>
      <c r="K31" s="26" t="e">
        <f t="shared" ref="K31:Q31" si="39">K30/K29*100</f>
        <v>#DIV/0!</v>
      </c>
      <c r="L31" s="26" t="e">
        <f t="shared" si="39"/>
        <v>#DIV/0!</v>
      </c>
      <c r="M31" s="26" t="e">
        <f t="shared" si="39"/>
        <v>#DIV/0!</v>
      </c>
      <c r="N31" s="26" t="e">
        <f t="shared" si="39"/>
        <v>#DIV/0!</v>
      </c>
      <c r="O31" s="26" t="e">
        <f t="shared" si="39"/>
        <v>#DIV/0!</v>
      </c>
      <c r="P31" s="26" t="e">
        <f t="shared" si="39"/>
        <v>#DIV/0!</v>
      </c>
      <c r="Q31" s="26" t="e">
        <f t="shared" si="39"/>
        <v>#DIV/0!</v>
      </c>
      <c r="R31" s="6" t="s">
        <v>12</v>
      </c>
      <c r="S31" s="26" t="e">
        <f t="shared" ref="S31:Y31" si="40">S30/S29*100</f>
        <v>#DIV/0!</v>
      </c>
      <c r="T31" s="26" t="e">
        <f t="shared" si="40"/>
        <v>#DIV/0!</v>
      </c>
      <c r="U31" s="26" t="e">
        <f t="shared" si="40"/>
        <v>#DIV/0!</v>
      </c>
      <c r="V31" s="26" t="e">
        <f t="shared" si="40"/>
        <v>#DIV/0!</v>
      </c>
      <c r="W31" s="26" t="e">
        <f t="shared" si="40"/>
        <v>#DIV/0!</v>
      </c>
      <c r="X31" s="26" t="e">
        <f t="shared" si="40"/>
        <v>#DIV/0!</v>
      </c>
      <c r="Y31" s="26" t="e">
        <f t="shared" si="40"/>
        <v>#DIV/0!</v>
      </c>
      <c r="Z31" s="113"/>
      <c r="AA31" s="6" t="s">
        <v>12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113"/>
      <c r="AJ31" s="6" t="s">
        <v>12</v>
      </c>
      <c r="AK31" s="26" t="e">
        <f t="shared" ref="AK31:AQ31" si="41">AK30/AK29*100</f>
        <v>#DIV/0!</v>
      </c>
      <c r="AL31" s="26" t="e">
        <f t="shared" si="41"/>
        <v>#DIV/0!</v>
      </c>
      <c r="AM31" s="26" t="e">
        <f t="shared" si="41"/>
        <v>#DIV/0!</v>
      </c>
      <c r="AN31" s="26" t="e">
        <f t="shared" si="41"/>
        <v>#DIV/0!</v>
      </c>
      <c r="AO31" s="26" t="e">
        <f t="shared" si="41"/>
        <v>#DIV/0!</v>
      </c>
      <c r="AP31" s="26" t="e">
        <f t="shared" si="41"/>
        <v>#DIV/0!</v>
      </c>
      <c r="AQ31" s="26" t="e">
        <f t="shared" si="41"/>
        <v>#DIV/0!</v>
      </c>
    </row>
    <row r="32" spans="1:44">
      <c r="A32" s="6" t="s">
        <v>27</v>
      </c>
      <c r="B32" s="6">
        <f>K32+S32+AK32</f>
        <v>41</v>
      </c>
      <c r="C32" s="6">
        <f>L32+T32+AL32</f>
        <v>8650</v>
      </c>
      <c r="D32" s="6">
        <f>E32+F32+G32+H32</f>
        <v>7238</v>
      </c>
      <c r="E32" s="6">
        <f t="shared" ref="E32:H33" si="42">N32+V32+AN32</f>
        <v>5467</v>
      </c>
      <c r="F32" s="6">
        <f t="shared" si="42"/>
        <v>1079</v>
      </c>
      <c r="G32" s="6">
        <f t="shared" si="42"/>
        <v>177</v>
      </c>
      <c r="H32" s="6">
        <f t="shared" si="42"/>
        <v>515</v>
      </c>
      <c r="I32" s="1"/>
      <c r="J32" s="6" t="s">
        <v>27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 t="s">
        <v>27</v>
      </c>
      <c r="S32" s="6">
        <v>41</v>
      </c>
      <c r="T32" s="6">
        <v>8650</v>
      </c>
      <c r="U32" s="6">
        <v>7238</v>
      </c>
      <c r="V32" s="6">
        <v>5467</v>
      </c>
      <c r="W32" s="6">
        <v>1079</v>
      </c>
      <c r="X32" s="6">
        <v>177</v>
      </c>
      <c r="Y32" s="6">
        <v>515</v>
      </c>
      <c r="Z32" s="1"/>
      <c r="AA32" s="6" t="s">
        <v>27</v>
      </c>
      <c r="AB32" s="6">
        <v>41</v>
      </c>
      <c r="AC32" s="6">
        <v>8650</v>
      </c>
      <c r="AD32" s="6">
        <v>7238</v>
      </c>
      <c r="AE32" s="6">
        <v>5467</v>
      </c>
      <c r="AF32" s="6">
        <v>1079</v>
      </c>
      <c r="AG32" s="6">
        <v>177</v>
      </c>
      <c r="AH32" s="6">
        <v>515</v>
      </c>
      <c r="AI32" s="1"/>
      <c r="AJ32" s="6" t="s">
        <v>27</v>
      </c>
      <c r="AK32" s="8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</row>
    <row r="33" spans="1:43">
      <c r="A33" s="6" t="s">
        <v>28</v>
      </c>
      <c r="B33" s="6">
        <f>K33+S33+AK33</f>
        <v>28.6</v>
      </c>
      <c r="C33" s="6">
        <f>L33+T33+AL33</f>
        <v>7120</v>
      </c>
      <c r="D33" s="6">
        <f>E33+F33+G33+H33</f>
        <v>6642</v>
      </c>
      <c r="E33" s="6">
        <f t="shared" si="42"/>
        <v>4842</v>
      </c>
      <c r="F33" s="6">
        <f t="shared" si="42"/>
        <v>993</v>
      </c>
      <c r="G33" s="6">
        <f t="shared" si="42"/>
        <v>161</v>
      </c>
      <c r="H33" s="6">
        <f t="shared" si="42"/>
        <v>646</v>
      </c>
      <c r="I33" s="1"/>
      <c r="J33" s="6" t="s">
        <v>28</v>
      </c>
      <c r="K33" s="6">
        <v>0</v>
      </c>
      <c r="L33" s="6">
        <v>0</v>
      </c>
      <c r="M33" s="6">
        <f>N33+O33+P33+Q33</f>
        <v>0</v>
      </c>
      <c r="N33" s="6">
        <v>0</v>
      </c>
      <c r="O33" s="6">
        <v>0</v>
      </c>
      <c r="P33" s="6">
        <v>0</v>
      </c>
      <c r="Q33" s="6">
        <v>0</v>
      </c>
      <c r="R33" s="6" t="s">
        <v>28</v>
      </c>
      <c r="S33" s="6">
        <v>28.6</v>
      </c>
      <c r="T33" s="6">
        <v>7120</v>
      </c>
      <c r="U33" s="6">
        <v>6642</v>
      </c>
      <c r="V33" s="6">
        <v>4842</v>
      </c>
      <c r="W33" s="6">
        <v>993</v>
      </c>
      <c r="X33" s="6">
        <v>161</v>
      </c>
      <c r="Y33" s="6">
        <v>646</v>
      </c>
      <c r="Z33" s="1"/>
      <c r="AA33" s="6" t="s">
        <v>28</v>
      </c>
      <c r="AB33" s="6">
        <v>28.6</v>
      </c>
      <c r="AC33" s="6">
        <v>7120</v>
      </c>
      <c r="AD33" s="6">
        <v>6642</v>
      </c>
      <c r="AE33" s="6">
        <v>4842</v>
      </c>
      <c r="AF33" s="6">
        <v>993</v>
      </c>
      <c r="AG33" s="6">
        <v>161</v>
      </c>
      <c r="AH33" s="6">
        <v>646</v>
      </c>
      <c r="AI33" s="1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26">
        <f t="shared" ref="B34:H34" si="43">B33/B32*100</f>
        <v>69.756097560975618</v>
      </c>
      <c r="C34" s="26">
        <f t="shared" si="43"/>
        <v>82.312138728323703</v>
      </c>
      <c r="D34" s="26">
        <f t="shared" si="43"/>
        <v>91.76568112738326</v>
      </c>
      <c r="E34" s="26">
        <f t="shared" si="43"/>
        <v>88.567770257911107</v>
      </c>
      <c r="F34" s="26">
        <f t="shared" si="43"/>
        <v>92.029657089898052</v>
      </c>
      <c r="G34" s="26">
        <f t="shared" si="43"/>
        <v>90.960451977401121</v>
      </c>
      <c r="H34" s="26">
        <f t="shared" si="43"/>
        <v>125.4368932038835</v>
      </c>
      <c r="I34" s="113"/>
      <c r="J34" s="6" t="s">
        <v>12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6" t="s">
        <v>12</v>
      </c>
      <c r="S34" s="26">
        <f t="shared" ref="S34:Y34" si="44">S33/S32*100</f>
        <v>69.756097560975618</v>
      </c>
      <c r="T34" s="26">
        <f t="shared" si="44"/>
        <v>82.312138728323703</v>
      </c>
      <c r="U34" s="26">
        <f t="shared" si="44"/>
        <v>91.76568112738326</v>
      </c>
      <c r="V34" s="26">
        <f t="shared" si="44"/>
        <v>88.567770257911107</v>
      </c>
      <c r="W34" s="26">
        <f t="shared" si="44"/>
        <v>92.029657089898052</v>
      </c>
      <c r="X34" s="26">
        <f t="shared" si="44"/>
        <v>90.960451977401121</v>
      </c>
      <c r="Y34" s="26">
        <f t="shared" si="44"/>
        <v>125.4368932038835</v>
      </c>
      <c r="Z34" s="113"/>
      <c r="AA34" s="6" t="s">
        <v>12</v>
      </c>
      <c r="AB34" s="26" t="s">
        <v>70</v>
      </c>
      <c r="AC34" s="26">
        <f t="shared" ref="AC34:AH34" si="45">AC33/AC32*100</f>
        <v>82.312138728323703</v>
      </c>
      <c r="AD34" s="26">
        <f t="shared" si="45"/>
        <v>91.76568112738326</v>
      </c>
      <c r="AE34" s="26">
        <f t="shared" si="45"/>
        <v>88.567770257911107</v>
      </c>
      <c r="AF34" s="26">
        <f t="shared" si="45"/>
        <v>92.029657089898052</v>
      </c>
      <c r="AG34" s="26">
        <f t="shared" si="45"/>
        <v>90.960451977401121</v>
      </c>
      <c r="AH34" s="26">
        <f t="shared" si="45"/>
        <v>125.4368932038835</v>
      </c>
      <c r="AI34" s="113"/>
      <c r="AJ34" s="6" t="s">
        <v>12</v>
      </c>
      <c r="AK34" s="26"/>
      <c r="AL34" s="26"/>
      <c r="AM34" s="26"/>
      <c r="AN34" s="26"/>
      <c r="AO34" s="26"/>
      <c r="AP34" s="26"/>
      <c r="AQ34" s="26"/>
    </row>
    <row r="35" spans="1:43">
      <c r="A35" s="6" t="s">
        <v>29</v>
      </c>
      <c r="B35" s="6">
        <f>K35+S35+AK35</f>
        <v>96</v>
      </c>
      <c r="C35" s="6">
        <f>L35+T35+AL35</f>
        <v>4126</v>
      </c>
      <c r="D35" s="6">
        <f>E35+F35+G35+H35</f>
        <v>3464</v>
      </c>
      <c r="E35" s="6">
        <f t="shared" ref="E35:H36" si="46">N35+V35+AN35</f>
        <v>19</v>
      </c>
      <c r="F35" s="6">
        <f t="shared" si="46"/>
        <v>925</v>
      </c>
      <c r="G35" s="6">
        <f t="shared" si="46"/>
        <v>450</v>
      </c>
      <c r="H35" s="6">
        <f t="shared" si="46"/>
        <v>2070</v>
      </c>
      <c r="I35" s="1"/>
      <c r="J35" s="6" t="s">
        <v>29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 t="s">
        <v>29</v>
      </c>
      <c r="S35" s="6">
        <v>96</v>
      </c>
      <c r="T35" s="6">
        <v>4116</v>
      </c>
      <c r="U35" s="6">
        <v>3456</v>
      </c>
      <c r="V35" s="6">
        <v>19</v>
      </c>
      <c r="W35" s="6">
        <v>925</v>
      </c>
      <c r="X35" s="6">
        <v>450</v>
      </c>
      <c r="Y35" s="6">
        <v>2062</v>
      </c>
      <c r="Z35" s="1"/>
      <c r="AA35" s="6" t="s">
        <v>29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1"/>
      <c r="AJ35" s="6" t="s">
        <v>29</v>
      </c>
      <c r="AK35" s="8">
        <v>0</v>
      </c>
      <c r="AL35" s="9">
        <v>10</v>
      </c>
      <c r="AM35" s="9">
        <v>8</v>
      </c>
      <c r="AN35" s="9">
        <v>0</v>
      </c>
      <c r="AO35" s="9">
        <v>0</v>
      </c>
      <c r="AP35" s="9">
        <v>0</v>
      </c>
      <c r="AQ35" s="9">
        <v>8</v>
      </c>
    </row>
    <row r="36" spans="1:43">
      <c r="A36" s="6" t="s">
        <v>30</v>
      </c>
      <c r="B36" s="6">
        <f>K36+S36+AK36</f>
        <v>26.8</v>
      </c>
      <c r="C36" s="6">
        <f>L36+T36+AL36</f>
        <v>784</v>
      </c>
      <c r="D36" s="6">
        <f>E36+F36+G36+H36</f>
        <v>745</v>
      </c>
      <c r="E36" s="6">
        <f t="shared" si="46"/>
        <v>0</v>
      </c>
      <c r="F36" s="6">
        <f t="shared" si="46"/>
        <v>129</v>
      </c>
      <c r="G36" s="6">
        <f t="shared" si="46"/>
        <v>35</v>
      </c>
      <c r="H36" s="6">
        <f t="shared" si="46"/>
        <v>581</v>
      </c>
      <c r="I36" s="1"/>
      <c r="J36" s="6" t="s">
        <v>30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 t="s">
        <v>30</v>
      </c>
      <c r="S36" s="27">
        <v>26.8</v>
      </c>
      <c r="T36" s="6">
        <v>784</v>
      </c>
      <c r="U36" s="6">
        <v>745</v>
      </c>
      <c r="V36" s="6">
        <v>0</v>
      </c>
      <c r="W36" s="6">
        <v>129</v>
      </c>
      <c r="X36" s="6">
        <v>35</v>
      </c>
      <c r="Y36" s="6">
        <v>581</v>
      </c>
      <c r="Z36" s="1"/>
      <c r="AA36" s="6" t="s">
        <v>30</v>
      </c>
      <c r="AB36" s="6">
        <v>0</v>
      </c>
      <c r="AC36" s="6">
        <v>10</v>
      </c>
      <c r="AD36" s="6">
        <v>9</v>
      </c>
      <c r="AE36" s="6">
        <v>0</v>
      </c>
      <c r="AF36" s="6">
        <v>0</v>
      </c>
      <c r="AG36" s="6">
        <v>0</v>
      </c>
      <c r="AH36" s="6">
        <v>9</v>
      </c>
      <c r="AI36" s="1"/>
      <c r="AJ36" s="6" t="s">
        <v>30</v>
      </c>
      <c r="AK36" s="6"/>
      <c r="AL36" s="6"/>
      <c r="AM36" s="26"/>
      <c r="AN36" s="6"/>
      <c r="AO36" s="6"/>
      <c r="AP36" s="6"/>
      <c r="AQ36" s="6"/>
    </row>
    <row r="37" spans="1:43">
      <c r="A37" s="6" t="s">
        <v>12</v>
      </c>
      <c r="B37" s="26">
        <f t="shared" ref="B37:H37" si="47">B36/B35*100</f>
        <v>27.916666666666668</v>
      </c>
      <c r="C37" s="26">
        <f t="shared" si="47"/>
        <v>19.001454192922928</v>
      </c>
      <c r="D37" s="26">
        <f t="shared" si="47"/>
        <v>21.506928406466514</v>
      </c>
      <c r="E37" s="26">
        <f t="shared" si="47"/>
        <v>0</v>
      </c>
      <c r="F37" s="26">
        <f t="shared" si="47"/>
        <v>13.945945945945946</v>
      </c>
      <c r="G37" s="26">
        <f t="shared" si="47"/>
        <v>7.7777777777777777</v>
      </c>
      <c r="H37" s="26">
        <f t="shared" si="47"/>
        <v>28.067632850241548</v>
      </c>
      <c r="I37" s="113"/>
      <c r="J37" s="6" t="s">
        <v>12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6" t="s">
        <v>12</v>
      </c>
      <c r="S37" s="26">
        <f t="shared" ref="S37:Y37" si="48">S36/S35*100</f>
        <v>27.916666666666668</v>
      </c>
      <c r="T37" s="26">
        <f t="shared" si="48"/>
        <v>19.047619047619047</v>
      </c>
      <c r="U37" s="26">
        <f t="shared" si="48"/>
        <v>21.556712962962962</v>
      </c>
      <c r="V37" s="26">
        <f t="shared" si="48"/>
        <v>0</v>
      </c>
      <c r="W37" s="26">
        <f t="shared" si="48"/>
        <v>13.945945945945946</v>
      </c>
      <c r="X37" s="26">
        <f t="shared" si="48"/>
        <v>7.7777777777777777</v>
      </c>
      <c r="Y37" s="26">
        <f t="shared" si="48"/>
        <v>28.176527643064986</v>
      </c>
      <c r="Z37" s="113"/>
      <c r="AA37" s="6" t="s">
        <v>12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113"/>
      <c r="AJ37" s="6" t="s">
        <v>12</v>
      </c>
      <c r="AK37" s="26" t="e">
        <f>AK36/AK35*100</f>
        <v>#DIV/0!</v>
      </c>
      <c r="AL37" s="26">
        <f t="shared" ref="AL37:AQ37" si="49">AL36/AL35*100</f>
        <v>0</v>
      </c>
      <c r="AM37" s="26">
        <f t="shared" si="49"/>
        <v>0</v>
      </c>
      <c r="AN37" s="26" t="e">
        <f t="shared" si="49"/>
        <v>#DIV/0!</v>
      </c>
      <c r="AO37" s="26" t="e">
        <f t="shared" si="49"/>
        <v>#DIV/0!</v>
      </c>
      <c r="AP37" s="26" t="e">
        <f t="shared" si="49"/>
        <v>#DIV/0!</v>
      </c>
      <c r="AQ37" s="26">
        <f t="shared" si="49"/>
        <v>0</v>
      </c>
    </row>
    <row r="38" spans="1:43">
      <c r="A38" s="6" t="s">
        <v>31</v>
      </c>
      <c r="B38" s="6">
        <f>K38+S38+AK38</f>
        <v>9</v>
      </c>
      <c r="C38" s="6">
        <f>L38+T38+AL38</f>
        <v>1191</v>
      </c>
      <c r="D38" s="6">
        <f>E38+F38+G38+H38</f>
        <v>981</v>
      </c>
      <c r="E38" s="6">
        <f t="shared" ref="E38:H39" si="50">N38+V38+AN38</f>
        <v>33</v>
      </c>
      <c r="F38" s="6">
        <f t="shared" si="50"/>
        <v>90</v>
      </c>
      <c r="G38" s="6">
        <f t="shared" si="50"/>
        <v>19</v>
      </c>
      <c r="H38" s="6">
        <f t="shared" si="50"/>
        <v>839</v>
      </c>
      <c r="I38" s="1"/>
      <c r="J38" s="6" t="s">
        <v>31</v>
      </c>
      <c r="K38" s="6">
        <v>3</v>
      </c>
      <c r="L38" s="6">
        <v>100</v>
      </c>
      <c r="M38" s="6">
        <v>81</v>
      </c>
      <c r="N38" s="6">
        <v>15</v>
      </c>
      <c r="O38" s="6">
        <v>27</v>
      </c>
      <c r="P38" s="6">
        <v>5</v>
      </c>
      <c r="Q38" s="6">
        <v>34</v>
      </c>
      <c r="R38" s="6" t="s">
        <v>31</v>
      </c>
      <c r="S38" s="19">
        <v>5</v>
      </c>
      <c r="T38" s="6">
        <v>1063</v>
      </c>
      <c r="U38" s="6">
        <v>884</v>
      </c>
      <c r="V38" s="6">
        <v>18</v>
      </c>
      <c r="W38" s="6">
        <v>61</v>
      </c>
      <c r="X38" s="6">
        <v>14</v>
      </c>
      <c r="Y38" s="6">
        <v>791</v>
      </c>
      <c r="Z38" s="1"/>
      <c r="AA38" s="6" t="s">
        <v>31</v>
      </c>
      <c r="AB38" s="19">
        <v>5</v>
      </c>
      <c r="AC38" s="6">
        <v>1063</v>
      </c>
      <c r="AD38" s="6">
        <v>884</v>
      </c>
      <c r="AE38" s="6">
        <v>18</v>
      </c>
      <c r="AF38" s="6">
        <v>61</v>
      </c>
      <c r="AG38" s="6">
        <v>14</v>
      </c>
      <c r="AH38" s="6">
        <v>791</v>
      </c>
      <c r="AI38" s="1"/>
      <c r="AJ38" s="6" t="s">
        <v>31</v>
      </c>
      <c r="AK38" s="8">
        <v>1</v>
      </c>
      <c r="AL38" s="9">
        <v>28</v>
      </c>
      <c r="AM38" s="9">
        <v>16</v>
      </c>
      <c r="AN38" s="9">
        <v>0</v>
      </c>
      <c r="AO38" s="9">
        <v>2</v>
      </c>
      <c r="AP38" s="9">
        <v>0</v>
      </c>
      <c r="AQ38" s="9">
        <v>14</v>
      </c>
    </row>
    <row r="39" spans="1:43">
      <c r="A39" s="6" t="s">
        <v>32</v>
      </c>
      <c r="B39" s="27">
        <f>K39+S39+AK39</f>
        <v>2.2000000000000002</v>
      </c>
      <c r="C39" s="6">
        <f>L39+T39+AL39</f>
        <v>1053</v>
      </c>
      <c r="D39" s="6">
        <f>E39+F39+G39+H39</f>
        <v>987</v>
      </c>
      <c r="E39" s="6">
        <f t="shared" si="50"/>
        <v>123</v>
      </c>
      <c r="F39" s="6">
        <f t="shared" si="50"/>
        <v>23</v>
      </c>
      <c r="G39" s="6">
        <f t="shared" si="50"/>
        <v>4</v>
      </c>
      <c r="H39" s="6">
        <f t="shared" si="50"/>
        <v>837</v>
      </c>
      <c r="I39" s="1"/>
      <c r="J39" s="6" t="s">
        <v>32</v>
      </c>
      <c r="K39" s="27"/>
      <c r="L39" s="6"/>
      <c r="M39" s="6"/>
      <c r="N39" s="6"/>
      <c r="O39" s="6"/>
      <c r="P39" s="6"/>
      <c r="Q39" s="6"/>
      <c r="R39" s="6" t="s">
        <v>32</v>
      </c>
      <c r="S39" s="6">
        <v>2.2000000000000002</v>
      </c>
      <c r="T39" s="6">
        <v>1053</v>
      </c>
      <c r="U39" s="6">
        <v>987</v>
      </c>
      <c r="V39" s="6">
        <v>123</v>
      </c>
      <c r="W39" s="6">
        <v>23</v>
      </c>
      <c r="X39" s="6">
        <v>4</v>
      </c>
      <c r="Y39" s="6">
        <v>837</v>
      </c>
      <c r="Z39" s="1"/>
      <c r="AA39" s="6" t="s">
        <v>32</v>
      </c>
      <c r="AB39" s="6">
        <v>0</v>
      </c>
      <c r="AC39" s="6">
        <v>142</v>
      </c>
      <c r="AD39" s="6">
        <v>136</v>
      </c>
      <c r="AE39" s="6">
        <v>4</v>
      </c>
      <c r="AF39" s="6">
        <v>3</v>
      </c>
      <c r="AG39" s="6">
        <v>3</v>
      </c>
      <c r="AH39" s="6">
        <v>126</v>
      </c>
      <c r="AI39" s="1"/>
      <c r="AJ39" s="6" t="s">
        <v>32</v>
      </c>
      <c r="AK39" s="8"/>
      <c r="AL39" s="9"/>
      <c r="AM39" s="9"/>
      <c r="AN39" s="9"/>
      <c r="AO39" s="9"/>
      <c r="AP39" s="9"/>
      <c r="AQ39" s="9"/>
    </row>
    <row r="40" spans="1:43">
      <c r="A40" s="6" t="s">
        <v>12</v>
      </c>
      <c r="B40" s="26">
        <f t="shared" ref="B40:H40" si="51">B39/B38*100</f>
        <v>24.444444444444446</v>
      </c>
      <c r="C40" s="26">
        <f t="shared" si="51"/>
        <v>88.413098236775824</v>
      </c>
      <c r="D40" s="26">
        <f t="shared" si="51"/>
        <v>100.61162079510704</v>
      </c>
      <c r="E40" s="26">
        <f t="shared" si="51"/>
        <v>372.72727272727269</v>
      </c>
      <c r="F40" s="26">
        <f t="shared" si="51"/>
        <v>25.555555555555554</v>
      </c>
      <c r="G40" s="26">
        <f t="shared" si="51"/>
        <v>21.052631578947366</v>
      </c>
      <c r="H40" s="26">
        <f t="shared" si="51"/>
        <v>99.761620977353999</v>
      </c>
      <c r="I40" s="113"/>
      <c r="J40" s="6" t="s">
        <v>12</v>
      </c>
      <c r="K40" s="26">
        <f t="shared" ref="K40:Q40" si="52">K39/K38*100</f>
        <v>0</v>
      </c>
      <c r="L40" s="26">
        <f t="shared" si="52"/>
        <v>0</v>
      </c>
      <c r="M40" s="26">
        <f t="shared" si="52"/>
        <v>0</v>
      </c>
      <c r="N40" s="26">
        <f t="shared" si="52"/>
        <v>0</v>
      </c>
      <c r="O40" s="26">
        <f t="shared" si="52"/>
        <v>0</v>
      </c>
      <c r="P40" s="26">
        <v>0</v>
      </c>
      <c r="Q40" s="26">
        <f t="shared" si="52"/>
        <v>0</v>
      </c>
      <c r="R40" s="6" t="s">
        <v>12</v>
      </c>
      <c r="S40" s="26">
        <f t="shared" ref="S40:Y40" si="53">S39/S38*100</f>
        <v>44.000000000000007</v>
      </c>
      <c r="T40" s="26">
        <f t="shared" si="53"/>
        <v>99.059266227657574</v>
      </c>
      <c r="U40" s="26">
        <f t="shared" si="53"/>
        <v>111.65158371040724</v>
      </c>
      <c r="V40" s="26">
        <f t="shared" si="53"/>
        <v>683.33333333333326</v>
      </c>
      <c r="W40" s="26">
        <f t="shared" si="53"/>
        <v>37.704918032786885</v>
      </c>
      <c r="X40" s="26">
        <f t="shared" si="53"/>
        <v>28.571428571428569</v>
      </c>
      <c r="Y40" s="26">
        <f t="shared" si="53"/>
        <v>105.81542351453857</v>
      </c>
      <c r="Z40" s="113"/>
      <c r="AA40" s="6" t="s">
        <v>12</v>
      </c>
      <c r="AB40" s="26">
        <f>AB39/AB38*100</f>
        <v>0</v>
      </c>
      <c r="AC40" s="26">
        <f>AC39/AC38*100</f>
        <v>13.358419567262464</v>
      </c>
      <c r="AD40" s="26">
        <f>AD39/AD38*100</f>
        <v>15.384615384615385</v>
      </c>
      <c r="AE40" s="26">
        <f>AE39/AE38*100</f>
        <v>22.222222222222221</v>
      </c>
      <c r="AF40" s="26">
        <f>AF39/AF38*100</f>
        <v>4.918032786885246</v>
      </c>
      <c r="AG40" s="26">
        <v>0</v>
      </c>
      <c r="AH40" s="26">
        <f>AH39/AH38*100</f>
        <v>15.929203539823009</v>
      </c>
      <c r="AI40" s="113"/>
      <c r="AJ40" s="6" t="s">
        <v>12</v>
      </c>
      <c r="AK40" s="9">
        <f t="shared" ref="AK40:AQ40" si="54">+AK39/AK38*100</f>
        <v>0</v>
      </c>
      <c r="AL40" s="9">
        <f t="shared" si="54"/>
        <v>0</v>
      </c>
      <c r="AM40" s="9">
        <f t="shared" si="54"/>
        <v>0</v>
      </c>
      <c r="AN40" s="9" t="e">
        <f t="shared" si="54"/>
        <v>#DIV/0!</v>
      </c>
      <c r="AO40" s="9">
        <f t="shared" si="54"/>
        <v>0</v>
      </c>
      <c r="AP40" s="9" t="e">
        <f t="shared" si="54"/>
        <v>#DIV/0!</v>
      </c>
      <c r="AQ40" s="9">
        <f t="shared" si="54"/>
        <v>0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55">K9+S9+AK9</f>
        <v>149</v>
      </c>
      <c r="C46" s="83">
        <f t="shared" si="55"/>
        <v>13999</v>
      </c>
      <c r="D46" s="83">
        <f t="shared" si="55"/>
        <v>11706</v>
      </c>
      <c r="E46" s="83">
        <f t="shared" si="55"/>
        <v>5522</v>
      </c>
      <c r="F46" s="83">
        <f t="shared" si="55"/>
        <v>2103</v>
      </c>
      <c r="G46" s="83">
        <f t="shared" si="55"/>
        <v>647</v>
      </c>
      <c r="H46" s="83">
        <f t="shared" si="55"/>
        <v>3434</v>
      </c>
    </row>
    <row r="47" spans="1:43">
      <c r="A47" s="84" t="s">
        <v>50</v>
      </c>
      <c r="B47" s="149">
        <f t="shared" si="55"/>
        <v>63.900000000000006</v>
      </c>
      <c r="C47" s="83">
        <f t="shared" si="55"/>
        <v>9228</v>
      </c>
      <c r="D47" s="83">
        <f t="shared" si="55"/>
        <v>8632</v>
      </c>
      <c r="E47" s="83">
        <f t="shared" si="55"/>
        <v>4965</v>
      </c>
      <c r="F47" s="83">
        <f t="shared" si="55"/>
        <v>1145</v>
      </c>
      <c r="G47" s="83">
        <f t="shared" si="55"/>
        <v>200</v>
      </c>
      <c r="H47" s="83">
        <f t="shared" si="55"/>
        <v>2322</v>
      </c>
    </row>
    <row r="48" spans="1:43">
      <c r="A48" s="85" t="s">
        <v>44</v>
      </c>
      <c r="B48" s="86">
        <f>B47/B46*100</f>
        <v>42.885906040268459</v>
      </c>
      <c r="C48" s="86">
        <f t="shared" ref="C48:H48" si="56">C47/C46*100</f>
        <v>65.918994213872423</v>
      </c>
      <c r="D48" s="86">
        <f t="shared" si="56"/>
        <v>73.739962412438061</v>
      </c>
      <c r="E48" s="86">
        <f t="shared" si="56"/>
        <v>89.913074972835929</v>
      </c>
      <c r="F48" s="86">
        <f t="shared" si="56"/>
        <v>54.446029481692818</v>
      </c>
      <c r="G48" s="86">
        <f t="shared" si="56"/>
        <v>30.911901081916536</v>
      </c>
      <c r="H48" s="86">
        <f t="shared" si="56"/>
        <v>67.617938264414676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7">K13+S13+AK13</f>
        <v>2</v>
      </c>
      <c r="C50" s="90">
        <f t="shared" si="57"/>
        <v>27</v>
      </c>
      <c r="D50" s="90">
        <f t="shared" si="57"/>
        <v>19</v>
      </c>
      <c r="E50" s="90">
        <f t="shared" si="57"/>
        <v>1</v>
      </c>
      <c r="F50" s="90">
        <f t="shared" si="57"/>
        <v>8</v>
      </c>
      <c r="G50" s="90">
        <f t="shared" si="57"/>
        <v>1</v>
      </c>
      <c r="H50" s="90">
        <f t="shared" si="57"/>
        <v>9</v>
      </c>
    </row>
    <row r="51" spans="1:8">
      <c r="A51" s="75" t="s">
        <v>50</v>
      </c>
      <c r="B51" s="90">
        <f t="shared" si="57"/>
        <v>6.3</v>
      </c>
      <c r="C51" s="90">
        <f t="shared" si="57"/>
        <v>271</v>
      </c>
      <c r="D51" s="90">
        <f t="shared" si="57"/>
        <v>258</v>
      </c>
      <c r="E51" s="90">
        <f t="shared" si="57"/>
        <v>0</v>
      </c>
      <c r="F51" s="90">
        <f t="shared" si="57"/>
        <v>0</v>
      </c>
      <c r="G51" s="90">
        <f t="shared" si="57"/>
        <v>0</v>
      </c>
      <c r="H51" s="90">
        <f t="shared" si="57"/>
        <v>258</v>
      </c>
    </row>
    <row r="52" spans="1:8">
      <c r="A52" s="75" t="s">
        <v>44</v>
      </c>
      <c r="B52" s="91">
        <f t="shared" ref="B52:H52" si="58">B51/B50*100</f>
        <v>315</v>
      </c>
      <c r="C52" s="91">
        <f t="shared" si="58"/>
        <v>1003.7037037037036</v>
      </c>
      <c r="D52" s="91">
        <f t="shared" si="58"/>
        <v>1357.8947368421052</v>
      </c>
      <c r="E52" s="91">
        <f t="shared" si="58"/>
        <v>0</v>
      </c>
      <c r="F52" s="91">
        <f t="shared" si="58"/>
        <v>0</v>
      </c>
      <c r="G52" s="91">
        <f t="shared" si="58"/>
        <v>0</v>
      </c>
      <c r="H52" s="91">
        <f t="shared" si="58"/>
        <v>2866.666666666667</v>
      </c>
    </row>
    <row r="53" spans="1:8">
      <c r="A53" s="75" t="s">
        <v>13</v>
      </c>
      <c r="B53" s="90">
        <f t="shared" ref="B53:H55" si="59">K16+S16+AK16</f>
        <v>0</v>
      </c>
      <c r="C53" s="90">
        <f t="shared" si="59"/>
        <v>51</v>
      </c>
      <c r="D53" s="90">
        <f t="shared" si="59"/>
        <v>49</v>
      </c>
      <c r="E53" s="90">
        <f t="shared" si="59"/>
        <v>0</v>
      </c>
      <c r="F53" s="90">
        <f t="shared" si="59"/>
        <v>0</v>
      </c>
      <c r="G53" s="90">
        <f t="shared" si="59"/>
        <v>0</v>
      </c>
      <c r="H53" s="90">
        <f t="shared" si="59"/>
        <v>49</v>
      </c>
    </row>
    <row r="54" spans="1:8">
      <c r="A54" s="92" t="s">
        <v>14</v>
      </c>
      <c r="B54" s="90">
        <f t="shared" si="59"/>
        <v>0</v>
      </c>
      <c r="C54" s="90">
        <f t="shared" si="59"/>
        <v>0</v>
      </c>
      <c r="D54" s="90">
        <f t="shared" si="59"/>
        <v>0</v>
      </c>
      <c r="E54" s="90">
        <f t="shared" si="59"/>
        <v>0</v>
      </c>
      <c r="F54" s="90">
        <f t="shared" si="59"/>
        <v>0</v>
      </c>
      <c r="G54" s="90">
        <f t="shared" si="59"/>
        <v>0</v>
      </c>
      <c r="H54" s="90">
        <f t="shared" si="59"/>
        <v>0</v>
      </c>
    </row>
    <row r="55" spans="1:8">
      <c r="A55" s="75" t="s">
        <v>15</v>
      </c>
      <c r="B55" s="90">
        <f t="shared" si="59"/>
        <v>0</v>
      </c>
      <c r="C55" s="90">
        <f t="shared" si="59"/>
        <v>0</v>
      </c>
      <c r="D55" s="90">
        <f t="shared" si="59"/>
        <v>0</v>
      </c>
      <c r="E55" s="90">
        <f t="shared" si="59"/>
        <v>0</v>
      </c>
      <c r="F55" s="90">
        <f t="shared" si="59"/>
        <v>0</v>
      </c>
      <c r="G55" s="90">
        <f t="shared" si="59"/>
        <v>0</v>
      </c>
      <c r="H55" s="90">
        <f t="shared" si="59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60">K20+S20+AK20</f>
        <v>147</v>
      </c>
      <c r="C57" s="90">
        <f t="shared" si="60"/>
        <v>13972</v>
      </c>
      <c r="D57" s="90">
        <f t="shared" si="60"/>
        <v>11687</v>
      </c>
      <c r="E57" s="90">
        <f t="shared" si="60"/>
        <v>5521</v>
      </c>
      <c r="F57" s="90">
        <f t="shared" si="60"/>
        <v>2095</v>
      </c>
      <c r="G57" s="90">
        <f t="shared" si="60"/>
        <v>646</v>
      </c>
      <c r="H57" s="90">
        <f t="shared" si="60"/>
        <v>3425</v>
      </c>
    </row>
    <row r="58" spans="1:8">
      <c r="A58" s="92" t="s">
        <v>50</v>
      </c>
      <c r="B58" s="90">
        <f t="shared" si="60"/>
        <v>57.600000000000009</v>
      </c>
      <c r="C58" s="90">
        <f t="shared" si="60"/>
        <v>8957</v>
      </c>
      <c r="D58" s="90">
        <f t="shared" si="60"/>
        <v>8374</v>
      </c>
      <c r="E58" s="90">
        <f t="shared" si="60"/>
        <v>4965</v>
      </c>
      <c r="F58" s="90">
        <f t="shared" si="60"/>
        <v>1145</v>
      </c>
      <c r="G58" s="90">
        <f t="shared" si="60"/>
        <v>200</v>
      </c>
      <c r="H58" s="90">
        <f t="shared" si="60"/>
        <v>2064</v>
      </c>
    </row>
    <row r="59" spans="1:8">
      <c r="A59" s="75" t="s">
        <v>44</v>
      </c>
      <c r="B59" s="91">
        <f t="shared" ref="B59:H59" si="61">B58/B57*100</f>
        <v>39.183673469387756</v>
      </c>
      <c r="C59" s="91">
        <f t="shared" si="61"/>
        <v>64.106784998568571</v>
      </c>
      <c r="D59" s="91">
        <f t="shared" si="61"/>
        <v>71.652263198425601</v>
      </c>
      <c r="E59" s="91">
        <f t="shared" si="61"/>
        <v>89.929360623075524</v>
      </c>
      <c r="F59" s="91">
        <f t="shared" si="61"/>
        <v>54.653937947494036</v>
      </c>
      <c r="G59" s="91">
        <f t="shared" si="61"/>
        <v>30.959752321981426</v>
      </c>
      <c r="H59" s="91">
        <f t="shared" si="61"/>
        <v>60.262773722627742</v>
      </c>
    </row>
    <row r="60" spans="1:8">
      <c r="A60" s="75" t="s">
        <v>21</v>
      </c>
      <c r="B60" s="90">
        <f t="shared" ref="B60:H61" si="62">K23+S23+AK23</f>
        <v>0</v>
      </c>
      <c r="C60" s="90">
        <f t="shared" si="62"/>
        <v>0</v>
      </c>
      <c r="D60" s="90">
        <f t="shared" si="62"/>
        <v>0</v>
      </c>
      <c r="E60" s="90">
        <f t="shared" si="62"/>
        <v>0</v>
      </c>
      <c r="F60" s="90">
        <f t="shared" si="62"/>
        <v>0</v>
      </c>
      <c r="G60" s="90">
        <f t="shared" si="62"/>
        <v>0</v>
      </c>
      <c r="H60" s="90">
        <f t="shared" si="62"/>
        <v>0</v>
      </c>
    </row>
    <row r="61" spans="1:8">
      <c r="A61" s="75" t="s">
        <v>51</v>
      </c>
      <c r="B61" s="90">
        <f t="shared" si="62"/>
        <v>0</v>
      </c>
      <c r="C61" s="90">
        <f t="shared" si="62"/>
        <v>0</v>
      </c>
      <c r="D61" s="90">
        <f t="shared" si="62"/>
        <v>0</v>
      </c>
      <c r="E61" s="90">
        <f t="shared" si="62"/>
        <v>0</v>
      </c>
      <c r="F61" s="90">
        <f t="shared" si="62"/>
        <v>0</v>
      </c>
      <c r="G61" s="90">
        <f t="shared" si="62"/>
        <v>0</v>
      </c>
      <c r="H61" s="90">
        <f t="shared" si="62"/>
        <v>0</v>
      </c>
    </row>
    <row r="62" spans="1:8">
      <c r="A62" s="75" t="s">
        <v>12</v>
      </c>
      <c r="B62" s="91" t="e">
        <f t="shared" ref="B62:H62" si="63">B61/B60*100</f>
        <v>#DIV/0!</v>
      </c>
      <c r="C62" s="91" t="e">
        <f t="shared" si="63"/>
        <v>#DIV/0!</v>
      </c>
      <c r="D62" s="91" t="e">
        <f t="shared" si="63"/>
        <v>#DIV/0!</v>
      </c>
      <c r="E62" s="91" t="e">
        <f t="shared" si="63"/>
        <v>#DIV/0!</v>
      </c>
      <c r="F62" s="91" t="e">
        <f t="shared" si="63"/>
        <v>#DIV/0!</v>
      </c>
      <c r="G62" s="91" t="e">
        <f t="shared" si="63"/>
        <v>#DIV/0!</v>
      </c>
      <c r="H62" s="91" t="e">
        <f t="shared" si="63"/>
        <v>#DIV/0!</v>
      </c>
    </row>
    <row r="63" spans="1:8">
      <c r="A63" s="75" t="s">
        <v>23</v>
      </c>
      <c r="B63" s="90">
        <f t="shared" ref="B63:H64" si="64">K26+S26+AK26</f>
        <v>1</v>
      </c>
      <c r="C63" s="90">
        <f t="shared" si="64"/>
        <v>5</v>
      </c>
      <c r="D63" s="90">
        <f t="shared" si="64"/>
        <v>4</v>
      </c>
      <c r="E63" s="90">
        <f t="shared" si="64"/>
        <v>2</v>
      </c>
      <c r="F63" s="90">
        <f t="shared" si="64"/>
        <v>1</v>
      </c>
      <c r="G63" s="90">
        <f t="shared" si="64"/>
        <v>0</v>
      </c>
      <c r="H63" s="90">
        <f t="shared" si="64"/>
        <v>1</v>
      </c>
    </row>
    <row r="64" spans="1:8">
      <c r="A64" s="75" t="s">
        <v>45</v>
      </c>
      <c r="B64" s="90">
        <f t="shared" si="64"/>
        <v>0</v>
      </c>
      <c r="C64" s="90">
        <f t="shared" si="64"/>
        <v>0</v>
      </c>
      <c r="D64" s="90">
        <f t="shared" si="64"/>
        <v>0</v>
      </c>
      <c r="E64" s="90">
        <f t="shared" si="64"/>
        <v>0</v>
      </c>
      <c r="F64" s="90">
        <f t="shared" si="64"/>
        <v>0</v>
      </c>
      <c r="G64" s="90">
        <f t="shared" si="64"/>
        <v>0</v>
      </c>
      <c r="H64" s="90">
        <f t="shared" si="64"/>
        <v>0</v>
      </c>
    </row>
    <row r="65" spans="1:8">
      <c r="A65" s="75" t="s">
        <v>12</v>
      </c>
      <c r="B65" s="91">
        <f t="shared" ref="B65:H65" si="65">B64/B63*100</f>
        <v>0</v>
      </c>
      <c r="C65" s="91">
        <f t="shared" si="65"/>
        <v>0</v>
      </c>
      <c r="D65" s="91">
        <f t="shared" si="65"/>
        <v>0</v>
      </c>
      <c r="E65" s="91">
        <f t="shared" si="65"/>
        <v>0</v>
      </c>
      <c r="F65" s="91">
        <f t="shared" si="65"/>
        <v>0</v>
      </c>
      <c r="G65" s="91" t="e">
        <f t="shared" si="65"/>
        <v>#DIV/0!</v>
      </c>
      <c r="H65" s="91">
        <f t="shared" si="65"/>
        <v>0</v>
      </c>
    </row>
    <row r="66" spans="1:8">
      <c r="A66" s="75" t="s">
        <v>25</v>
      </c>
      <c r="B66" s="90">
        <f t="shared" ref="B66:H67" si="66">K29+S29+AK29</f>
        <v>0</v>
      </c>
      <c r="C66" s="90">
        <f t="shared" si="66"/>
        <v>0</v>
      </c>
      <c r="D66" s="90">
        <f t="shared" si="66"/>
        <v>0</v>
      </c>
      <c r="E66" s="90">
        <f t="shared" si="66"/>
        <v>0</v>
      </c>
      <c r="F66" s="90">
        <f t="shared" si="66"/>
        <v>0</v>
      </c>
      <c r="G66" s="90">
        <f t="shared" si="66"/>
        <v>0</v>
      </c>
      <c r="H66" s="90">
        <f t="shared" si="66"/>
        <v>0</v>
      </c>
    </row>
    <row r="67" spans="1:8">
      <c r="A67" s="75" t="s">
        <v>46</v>
      </c>
      <c r="B67" s="90">
        <f t="shared" si="66"/>
        <v>0</v>
      </c>
      <c r="C67" s="90">
        <f t="shared" si="66"/>
        <v>0</v>
      </c>
      <c r="D67" s="90">
        <f t="shared" si="66"/>
        <v>0</v>
      </c>
      <c r="E67" s="90">
        <f t="shared" si="66"/>
        <v>0</v>
      </c>
      <c r="F67" s="90">
        <f t="shared" si="66"/>
        <v>0</v>
      </c>
      <c r="G67" s="90">
        <f t="shared" si="66"/>
        <v>0</v>
      </c>
      <c r="H67" s="90">
        <f t="shared" si="66"/>
        <v>0</v>
      </c>
    </row>
    <row r="68" spans="1:8">
      <c r="A68" s="75" t="s">
        <v>12</v>
      </c>
      <c r="B68" s="91" t="e">
        <f t="shared" ref="B68:H68" si="67">B67/B66*100</f>
        <v>#DIV/0!</v>
      </c>
      <c r="C68" s="91" t="e">
        <f t="shared" si="67"/>
        <v>#DIV/0!</v>
      </c>
      <c r="D68" s="91" t="e">
        <f t="shared" si="67"/>
        <v>#DIV/0!</v>
      </c>
      <c r="E68" s="91" t="e">
        <f t="shared" si="67"/>
        <v>#DIV/0!</v>
      </c>
      <c r="F68" s="91" t="e">
        <f t="shared" si="67"/>
        <v>#DIV/0!</v>
      </c>
      <c r="G68" s="91" t="e">
        <f t="shared" si="67"/>
        <v>#DIV/0!</v>
      </c>
      <c r="H68" s="91" t="e">
        <f t="shared" si="67"/>
        <v>#DIV/0!</v>
      </c>
    </row>
    <row r="69" spans="1:8">
      <c r="A69" s="75" t="s">
        <v>27</v>
      </c>
      <c r="B69" s="90">
        <f t="shared" ref="B69:H70" si="68">K32+S32+AK32</f>
        <v>41</v>
      </c>
      <c r="C69" s="90">
        <f t="shared" si="68"/>
        <v>8650</v>
      </c>
      <c r="D69" s="90">
        <f t="shared" si="68"/>
        <v>7238</v>
      </c>
      <c r="E69" s="90">
        <f t="shared" si="68"/>
        <v>5467</v>
      </c>
      <c r="F69" s="90">
        <f t="shared" si="68"/>
        <v>1079</v>
      </c>
      <c r="G69" s="90">
        <f t="shared" si="68"/>
        <v>177</v>
      </c>
      <c r="H69" s="90">
        <f t="shared" si="68"/>
        <v>515</v>
      </c>
    </row>
    <row r="70" spans="1:8">
      <c r="A70" s="75" t="s">
        <v>47</v>
      </c>
      <c r="B70" s="90">
        <f t="shared" si="68"/>
        <v>28.6</v>
      </c>
      <c r="C70" s="90">
        <f t="shared" si="68"/>
        <v>7120</v>
      </c>
      <c r="D70" s="90">
        <f t="shared" si="68"/>
        <v>6642</v>
      </c>
      <c r="E70" s="90">
        <f t="shared" si="68"/>
        <v>4842</v>
      </c>
      <c r="F70" s="90">
        <f t="shared" si="68"/>
        <v>993</v>
      </c>
      <c r="G70" s="90">
        <f t="shared" si="68"/>
        <v>161</v>
      </c>
      <c r="H70" s="90">
        <f t="shared" si="68"/>
        <v>646</v>
      </c>
    </row>
    <row r="71" spans="1:8">
      <c r="A71" s="75" t="s">
        <v>12</v>
      </c>
      <c r="B71" s="91">
        <f t="shared" ref="B71:H71" si="69">B70/B69*100</f>
        <v>69.756097560975618</v>
      </c>
      <c r="C71" s="91">
        <f t="shared" si="69"/>
        <v>82.312138728323703</v>
      </c>
      <c r="D71" s="91">
        <f t="shared" si="69"/>
        <v>91.76568112738326</v>
      </c>
      <c r="E71" s="91">
        <f t="shared" si="69"/>
        <v>88.567770257911107</v>
      </c>
      <c r="F71" s="91">
        <f t="shared" si="69"/>
        <v>92.029657089898052</v>
      </c>
      <c r="G71" s="91">
        <f t="shared" si="69"/>
        <v>90.960451977401121</v>
      </c>
      <c r="H71" s="91">
        <f t="shared" si="69"/>
        <v>125.4368932038835</v>
      </c>
    </row>
    <row r="72" spans="1:8">
      <c r="A72" s="75" t="s">
        <v>29</v>
      </c>
      <c r="B72" s="90">
        <f t="shared" ref="B72:H73" si="70">K35+S35+AK35</f>
        <v>96</v>
      </c>
      <c r="C72" s="90">
        <f t="shared" si="70"/>
        <v>4126</v>
      </c>
      <c r="D72" s="90">
        <f t="shared" si="70"/>
        <v>3464</v>
      </c>
      <c r="E72" s="90">
        <f t="shared" si="70"/>
        <v>19</v>
      </c>
      <c r="F72" s="90">
        <f t="shared" si="70"/>
        <v>925</v>
      </c>
      <c r="G72" s="90">
        <f t="shared" si="70"/>
        <v>450</v>
      </c>
      <c r="H72" s="90">
        <f t="shared" si="70"/>
        <v>2070</v>
      </c>
    </row>
    <row r="73" spans="1:8">
      <c r="A73" s="75" t="s">
        <v>48</v>
      </c>
      <c r="B73" s="90">
        <f t="shared" si="70"/>
        <v>26.8</v>
      </c>
      <c r="C73" s="90">
        <f t="shared" si="70"/>
        <v>784</v>
      </c>
      <c r="D73" s="90">
        <f t="shared" si="70"/>
        <v>745</v>
      </c>
      <c r="E73" s="90">
        <f t="shared" si="70"/>
        <v>0</v>
      </c>
      <c r="F73" s="90">
        <f t="shared" si="70"/>
        <v>129</v>
      </c>
      <c r="G73" s="90">
        <f t="shared" si="70"/>
        <v>35</v>
      </c>
      <c r="H73" s="90">
        <f t="shared" si="70"/>
        <v>581</v>
      </c>
    </row>
    <row r="74" spans="1:8">
      <c r="A74" s="75" t="s">
        <v>12</v>
      </c>
      <c r="B74" s="91">
        <f t="shared" ref="B74:H74" si="71">B73/B72*100</f>
        <v>27.916666666666668</v>
      </c>
      <c r="C74" s="91">
        <f t="shared" si="71"/>
        <v>19.001454192922928</v>
      </c>
      <c r="D74" s="91">
        <f t="shared" si="71"/>
        <v>21.506928406466514</v>
      </c>
      <c r="E74" s="91">
        <f t="shared" si="71"/>
        <v>0</v>
      </c>
      <c r="F74" s="91">
        <f t="shared" si="71"/>
        <v>13.945945945945946</v>
      </c>
      <c r="G74" s="91">
        <f t="shared" si="71"/>
        <v>7.7777777777777777</v>
      </c>
      <c r="H74" s="91">
        <f t="shared" si="71"/>
        <v>28.067632850241548</v>
      </c>
    </row>
    <row r="75" spans="1:8">
      <c r="A75" s="75" t="s">
        <v>31</v>
      </c>
      <c r="B75" s="90">
        <f t="shared" ref="B75:H76" si="72">K38+S38+AK38</f>
        <v>9</v>
      </c>
      <c r="C75" s="90">
        <f t="shared" si="72"/>
        <v>1191</v>
      </c>
      <c r="D75" s="90">
        <f t="shared" si="72"/>
        <v>981</v>
      </c>
      <c r="E75" s="90">
        <f t="shared" si="72"/>
        <v>33</v>
      </c>
      <c r="F75" s="90">
        <f t="shared" si="72"/>
        <v>90</v>
      </c>
      <c r="G75" s="90">
        <f t="shared" si="72"/>
        <v>19</v>
      </c>
      <c r="H75" s="90">
        <f t="shared" si="72"/>
        <v>839</v>
      </c>
    </row>
    <row r="76" spans="1:8">
      <c r="A76" s="75" t="s">
        <v>52</v>
      </c>
      <c r="B76" s="90">
        <f t="shared" si="72"/>
        <v>2.2000000000000002</v>
      </c>
      <c r="C76" s="90">
        <f t="shared" si="72"/>
        <v>1053</v>
      </c>
      <c r="D76" s="90">
        <f t="shared" si="72"/>
        <v>987</v>
      </c>
      <c r="E76" s="90">
        <f t="shared" si="72"/>
        <v>123</v>
      </c>
      <c r="F76" s="90">
        <f t="shared" si="72"/>
        <v>23</v>
      </c>
      <c r="G76" s="90">
        <f t="shared" si="72"/>
        <v>4</v>
      </c>
      <c r="H76" s="90">
        <f t="shared" si="72"/>
        <v>837</v>
      </c>
    </row>
    <row r="77" spans="1:8">
      <c r="A77" s="75" t="s">
        <v>12</v>
      </c>
      <c r="B77" s="91">
        <f t="shared" ref="B77:H77" si="73">B76/B75*100</f>
        <v>24.444444444444446</v>
      </c>
      <c r="C77" s="91">
        <f t="shared" si="73"/>
        <v>88.413098236775824</v>
      </c>
      <c r="D77" s="91">
        <f t="shared" si="73"/>
        <v>100.61162079510704</v>
      </c>
      <c r="E77" s="91">
        <f t="shared" si="73"/>
        <v>372.72727272727269</v>
      </c>
      <c r="F77" s="91">
        <f t="shared" si="73"/>
        <v>25.555555555555554</v>
      </c>
      <c r="G77" s="91">
        <f t="shared" si="73"/>
        <v>21.052631578947366</v>
      </c>
      <c r="H77" s="91">
        <f t="shared" si="73"/>
        <v>99.761620977353999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74">B9-B46</f>
        <v>0</v>
      </c>
      <c r="C83" s="83">
        <f t="shared" si="74"/>
        <v>0</v>
      </c>
      <c r="D83" s="83">
        <f t="shared" si="74"/>
        <v>0</v>
      </c>
      <c r="E83" s="83">
        <f t="shared" si="74"/>
        <v>0</v>
      </c>
      <c r="F83" s="83">
        <f t="shared" si="74"/>
        <v>0</v>
      </c>
      <c r="G83" s="83">
        <f t="shared" si="74"/>
        <v>0</v>
      </c>
      <c r="H83" s="83">
        <f t="shared" si="74"/>
        <v>0</v>
      </c>
    </row>
    <row r="84" spans="1:8">
      <c r="A84" s="84" t="s">
        <v>50</v>
      </c>
      <c r="B84" s="83">
        <f t="shared" si="74"/>
        <v>0</v>
      </c>
      <c r="C84" s="83">
        <f t="shared" si="74"/>
        <v>0</v>
      </c>
      <c r="D84" s="83">
        <f t="shared" si="74"/>
        <v>0</v>
      </c>
      <c r="E84" s="83">
        <f t="shared" si="74"/>
        <v>0</v>
      </c>
      <c r="F84" s="83">
        <f t="shared" si="74"/>
        <v>0</v>
      </c>
      <c r="G84" s="83">
        <f t="shared" si="74"/>
        <v>0</v>
      </c>
      <c r="H84" s="83">
        <f t="shared" si="74"/>
        <v>0</v>
      </c>
    </row>
    <row r="85" spans="1:8">
      <c r="A85" s="85" t="s">
        <v>44</v>
      </c>
      <c r="B85" s="83">
        <f t="shared" si="74"/>
        <v>0</v>
      </c>
      <c r="C85" s="83">
        <f t="shared" si="74"/>
        <v>0</v>
      </c>
      <c r="D85" s="83">
        <f t="shared" si="74"/>
        <v>0</v>
      </c>
      <c r="E85" s="83">
        <f t="shared" si="74"/>
        <v>0</v>
      </c>
      <c r="F85" s="83">
        <f t="shared" si="74"/>
        <v>0</v>
      </c>
      <c r="G85" s="83">
        <f t="shared" si="74"/>
        <v>0</v>
      </c>
      <c r="H85" s="83">
        <f t="shared" si="74"/>
        <v>0</v>
      </c>
    </row>
    <row r="86" spans="1:8">
      <c r="A86" s="87" t="s">
        <v>11</v>
      </c>
      <c r="B86" s="83">
        <f t="shared" si="74"/>
        <v>0</v>
      </c>
      <c r="C86" s="83">
        <f t="shared" si="74"/>
        <v>0</v>
      </c>
      <c r="D86" s="83">
        <f t="shared" si="74"/>
        <v>0</v>
      </c>
      <c r="E86" s="83">
        <f t="shared" si="74"/>
        <v>0</v>
      </c>
      <c r="F86" s="83">
        <f t="shared" si="74"/>
        <v>0</v>
      </c>
      <c r="G86" s="83">
        <f t="shared" si="74"/>
        <v>0</v>
      </c>
      <c r="H86" s="83">
        <f t="shared" si="74"/>
        <v>0</v>
      </c>
    </row>
    <row r="87" spans="1:8">
      <c r="A87" s="75" t="s">
        <v>40</v>
      </c>
      <c r="B87" s="83">
        <f t="shared" si="74"/>
        <v>0</v>
      </c>
      <c r="C87" s="83">
        <f t="shared" si="74"/>
        <v>0</v>
      </c>
      <c r="D87" s="83">
        <f t="shared" si="74"/>
        <v>0</v>
      </c>
      <c r="E87" s="83">
        <f t="shared" si="74"/>
        <v>0</v>
      </c>
      <c r="F87" s="83">
        <f t="shared" si="74"/>
        <v>0</v>
      </c>
      <c r="G87" s="83">
        <f t="shared" si="74"/>
        <v>0</v>
      </c>
      <c r="H87" s="83">
        <f t="shared" si="74"/>
        <v>0</v>
      </c>
    </row>
    <row r="88" spans="1:8">
      <c r="A88" s="75" t="s">
        <v>50</v>
      </c>
      <c r="B88" s="83">
        <f t="shared" si="74"/>
        <v>0</v>
      </c>
      <c r="C88" s="83">
        <f t="shared" si="74"/>
        <v>0</v>
      </c>
      <c r="D88" s="83">
        <f t="shared" si="74"/>
        <v>0</v>
      </c>
      <c r="E88" s="83">
        <f t="shared" si="74"/>
        <v>0</v>
      </c>
      <c r="F88" s="83">
        <f t="shared" si="74"/>
        <v>0</v>
      </c>
      <c r="G88" s="83">
        <f t="shared" si="74"/>
        <v>0</v>
      </c>
      <c r="H88" s="83">
        <f t="shared" si="74"/>
        <v>0</v>
      </c>
    </row>
    <row r="89" spans="1:8">
      <c r="A89" s="75" t="s">
        <v>44</v>
      </c>
      <c r="B89" s="83">
        <f t="shared" si="74"/>
        <v>0</v>
      </c>
      <c r="C89" s="83">
        <f t="shared" si="74"/>
        <v>0</v>
      </c>
      <c r="D89" s="83">
        <f t="shared" si="74"/>
        <v>0</v>
      </c>
      <c r="E89" s="83">
        <f t="shared" si="74"/>
        <v>0</v>
      </c>
      <c r="F89" s="83">
        <f t="shared" si="74"/>
        <v>0</v>
      </c>
      <c r="G89" s="83">
        <f t="shared" si="74"/>
        <v>0</v>
      </c>
      <c r="H89" s="83">
        <f t="shared" si="74"/>
        <v>0</v>
      </c>
    </row>
    <row r="90" spans="1:8">
      <c r="A90" s="75" t="s">
        <v>13</v>
      </c>
      <c r="B90" s="83">
        <f t="shared" si="74"/>
        <v>0</v>
      </c>
      <c r="C90" s="83">
        <f t="shared" si="74"/>
        <v>0</v>
      </c>
      <c r="D90" s="83">
        <f t="shared" si="74"/>
        <v>0</v>
      </c>
      <c r="E90" s="83">
        <f t="shared" si="74"/>
        <v>0</v>
      </c>
      <c r="F90" s="83">
        <f t="shared" si="74"/>
        <v>0</v>
      </c>
      <c r="G90" s="83">
        <f t="shared" si="74"/>
        <v>0</v>
      </c>
      <c r="H90" s="83">
        <f t="shared" si="74"/>
        <v>0</v>
      </c>
    </row>
    <row r="91" spans="1:8">
      <c r="A91" s="92" t="s">
        <v>14</v>
      </c>
      <c r="B91" s="83">
        <f t="shared" si="74"/>
        <v>0</v>
      </c>
      <c r="C91" s="83">
        <f t="shared" si="74"/>
        <v>0</v>
      </c>
      <c r="D91" s="83">
        <f t="shared" si="74"/>
        <v>0</v>
      </c>
      <c r="E91" s="83">
        <f t="shared" si="74"/>
        <v>0</v>
      </c>
      <c r="F91" s="83">
        <f t="shared" si="74"/>
        <v>0</v>
      </c>
      <c r="G91" s="83">
        <f t="shared" si="74"/>
        <v>0</v>
      </c>
      <c r="H91" s="83">
        <f t="shared" si="74"/>
        <v>0</v>
      </c>
    </row>
    <row r="92" spans="1:8">
      <c r="A92" s="75" t="s">
        <v>15</v>
      </c>
      <c r="B92" s="83">
        <f t="shared" si="74"/>
        <v>0</v>
      </c>
      <c r="C92" s="83">
        <f t="shared" si="74"/>
        <v>0</v>
      </c>
      <c r="D92" s="83">
        <f t="shared" si="74"/>
        <v>0</v>
      </c>
      <c r="E92" s="83">
        <f t="shared" si="74"/>
        <v>0</v>
      </c>
      <c r="F92" s="83">
        <f t="shared" si="74"/>
        <v>0</v>
      </c>
      <c r="G92" s="83">
        <f t="shared" si="74"/>
        <v>0</v>
      </c>
      <c r="H92" s="83">
        <f t="shared" si="74"/>
        <v>0</v>
      </c>
    </row>
    <row r="93" spans="1:8">
      <c r="A93" s="87" t="s">
        <v>16</v>
      </c>
      <c r="B93" s="83">
        <f t="shared" si="74"/>
        <v>0</v>
      </c>
      <c r="C93" s="83">
        <f t="shared" si="74"/>
        <v>0</v>
      </c>
      <c r="D93" s="83">
        <f t="shared" si="74"/>
        <v>0</v>
      </c>
      <c r="E93" s="83">
        <f t="shared" si="74"/>
        <v>0</v>
      </c>
      <c r="F93" s="83">
        <f t="shared" si="74"/>
        <v>0</v>
      </c>
      <c r="G93" s="83">
        <f t="shared" si="74"/>
        <v>0</v>
      </c>
      <c r="H93" s="83">
        <f t="shared" si="74"/>
        <v>0</v>
      </c>
    </row>
    <row r="94" spans="1:8">
      <c r="A94" s="75" t="s">
        <v>40</v>
      </c>
      <c r="B94" s="83">
        <f t="shared" si="74"/>
        <v>0</v>
      </c>
      <c r="C94" s="83">
        <f t="shared" si="74"/>
        <v>0</v>
      </c>
      <c r="D94" s="83">
        <f t="shared" si="74"/>
        <v>0</v>
      </c>
      <c r="E94" s="83">
        <f t="shared" si="74"/>
        <v>0</v>
      </c>
      <c r="F94" s="83">
        <f t="shared" si="74"/>
        <v>0</v>
      </c>
      <c r="G94" s="83">
        <f t="shared" si="74"/>
        <v>0</v>
      </c>
      <c r="H94" s="83">
        <f t="shared" si="74"/>
        <v>0</v>
      </c>
    </row>
    <row r="95" spans="1:8">
      <c r="A95" s="92" t="s">
        <v>50</v>
      </c>
      <c r="B95" s="83">
        <f t="shared" si="74"/>
        <v>0</v>
      </c>
      <c r="C95" s="83">
        <f t="shared" si="74"/>
        <v>0</v>
      </c>
      <c r="D95" s="83">
        <f t="shared" si="74"/>
        <v>0</v>
      </c>
      <c r="E95" s="83">
        <f t="shared" si="74"/>
        <v>0</v>
      </c>
      <c r="F95" s="83">
        <f t="shared" si="74"/>
        <v>0</v>
      </c>
      <c r="G95" s="83">
        <f t="shared" si="74"/>
        <v>0</v>
      </c>
      <c r="H95" s="83">
        <f t="shared" si="74"/>
        <v>0</v>
      </c>
    </row>
    <row r="96" spans="1:8">
      <c r="A96" s="75" t="s">
        <v>44</v>
      </c>
      <c r="B96" s="83">
        <f t="shared" si="74"/>
        <v>0</v>
      </c>
      <c r="C96" s="83">
        <f t="shared" si="74"/>
        <v>0</v>
      </c>
      <c r="D96" s="83">
        <f t="shared" si="74"/>
        <v>0</v>
      </c>
      <c r="E96" s="83">
        <f t="shared" si="74"/>
        <v>0</v>
      </c>
      <c r="F96" s="83">
        <f t="shared" si="74"/>
        <v>0</v>
      </c>
      <c r="G96" s="83">
        <f t="shared" si="74"/>
        <v>0</v>
      </c>
      <c r="H96" s="83">
        <f t="shared" si="74"/>
        <v>0</v>
      </c>
    </row>
    <row r="97" spans="1:8">
      <c r="A97" s="75" t="s">
        <v>21</v>
      </c>
      <c r="B97" s="83">
        <f t="shared" si="74"/>
        <v>0</v>
      </c>
      <c r="C97" s="83">
        <f t="shared" si="74"/>
        <v>0</v>
      </c>
      <c r="D97" s="83">
        <f t="shared" si="74"/>
        <v>0</v>
      </c>
      <c r="E97" s="83">
        <f t="shared" si="74"/>
        <v>0</v>
      </c>
      <c r="F97" s="83">
        <f t="shared" si="74"/>
        <v>0</v>
      </c>
      <c r="G97" s="83">
        <f t="shared" si="74"/>
        <v>0</v>
      </c>
      <c r="H97" s="83">
        <f t="shared" si="74"/>
        <v>0</v>
      </c>
    </row>
    <row r="98" spans="1:8">
      <c r="A98" s="75" t="s">
        <v>51</v>
      </c>
      <c r="B98" s="83">
        <f t="shared" si="74"/>
        <v>0</v>
      </c>
      <c r="C98" s="83">
        <f t="shared" si="74"/>
        <v>0</v>
      </c>
      <c r="D98" s="83">
        <f t="shared" si="74"/>
        <v>0</v>
      </c>
      <c r="E98" s="83">
        <f t="shared" si="74"/>
        <v>0</v>
      </c>
      <c r="F98" s="83">
        <f t="shared" si="74"/>
        <v>0</v>
      </c>
      <c r="G98" s="83">
        <f t="shared" si="74"/>
        <v>0</v>
      </c>
      <c r="H98" s="83">
        <f t="shared" si="74"/>
        <v>0</v>
      </c>
    </row>
    <row r="99" spans="1:8">
      <c r="A99" s="75" t="s">
        <v>12</v>
      </c>
      <c r="B99" s="83" t="e">
        <f t="shared" ref="B99:H114" si="75">B25-B62</f>
        <v>#DIV/0!</v>
      </c>
      <c r="C99" s="83" t="e">
        <f t="shared" si="75"/>
        <v>#DIV/0!</v>
      </c>
      <c r="D99" s="83" t="e">
        <f t="shared" si="75"/>
        <v>#DIV/0!</v>
      </c>
      <c r="E99" s="83" t="e">
        <f t="shared" si="75"/>
        <v>#DIV/0!</v>
      </c>
      <c r="F99" s="83" t="e">
        <f t="shared" si="75"/>
        <v>#DIV/0!</v>
      </c>
      <c r="G99" s="83" t="e">
        <f t="shared" si="75"/>
        <v>#DIV/0!</v>
      </c>
      <c r="H99" s="83" t="e">
        <f t="shared" si="75"/>
        <v>#DIV/0!</v>
      </c>
    </row>
    <row r="100" spans="1:8">
      <c r="A100" s="75" t="s">
        <v>23</v>
      </c>
      <c r="B100" s="83">
        <f t="shared" si="75"/>
        <v>0</v>
      </c>
      <c r="C100" s="83">
        <f t="shared" si="75"/>
        <v>0</v>
      </c>
      <c r="D100" s="83">
        <f t="shared" si="75"/>
        <v>0</v>
      </c>
      <c r="E100" s="83">
        <f t="shared" si="75"/>
        <v>0</v>
      </c>
      <c r="F100" s="83">
        <f t="shared" si="75"/>
        <v>0</v>
      </c>
      <c r="G100" s="83">
        <f t="shared" si="75"/>
        <v>0</v>
      </c>
      <c r="H100" s="83">
        <f t="shared" si="75"/>
        <v>0</v>
      </c>
    </row>
    <row r="101" spans="1:8">
      <c r="A101" s="75" t="s">
        <v>45</v>
      </c>
      <c r="B101" s="83">
        <f t="shared" si="75"/>
        <v>0</v>
      </c>
      <c r="C101" s="83">
        <f t="shared" si="75"/>
        <v>0</v>
      </c>
      <c r="D101" s="83">
        <f t="shared" si="75"/>
        <v>0</v>
      </c>
      <c r="E101" s="83">
        <f t="shared" si="75"/>
        <v>0</v>
      </c>
      <c r="F101" s="83">
        <f t="shared" si="75"/>
        <v>0</v>
      </c>
      <c r="G101" s="83">
        <f t="shared" si="75"/>
        <v>0</v>
      </c>
      <c r="H101" s="83">
        <f t="shared" si="75"/>
        <v>0</v>
      </c>
    </row>
    <row r="102" spans="1:8">
      <c r="A102" s="75" t="s">
        <v>12</v>
      </c>
      <c r="B102" s="83">
        <f t="shared" si="75"/>
        <v>0</v>
      </c>
      <c r="C102" s="83">
        <f t="shared" si="75"/>
        <v>0</v>
      </c>
      <c r="D102" s="83">
        <f t="shared" si="75"/>
        <v>0</v>
      </c>
      <c r="E102" s="83">
        <f t="shared" si="75"/>
        <v>0</v>
      </c>
      <c r="F102" s="83">
        <f t="shared" si="75"/>
        <v>0</v>
      </c>
      <c r="G102" s="83" t="e">
        <f t="shared" si="75"/>
        <v>#DIV/0!</v>
      </c>
      <c r="H102" s="83">
        <f t="shared" si="75"/>
        <v>0</v>
      </c>
    </row>
    <row r="103" spans="1:8">
      <c r="A103" s="75" t="s">
        <v>25</v>
      </c>
      <c r="B103" s="83">
        <f t="shared" si="75"/>
        <v>0</v>
      </c>
      <c r="C103" s="83">
        <f t="shared" si="75"/>
        <v>0</v>
      </c>
      <c r="D103" s="83">
        <f t="shared" si="75"/>
        <v>0</v>
      </c>
      <c r="E103" s="83">
        <f t="shared" si="75"/>
        <v>0</v>
      </c>
      <c r="F103" s="83">
        <f t="shared" si="75"/>
        <v>0</v>
      </c>
      <c r="G103" s="83">
        <f t="shared" si="75"/>
        <v>0</v>
      </c>
      <c r="H103" s="83">
        <f t="shared" si="75"/>
        <v>0</v>
      </c>
    </row>
    <row r="104" spans="1:8">
      <c r="A104" s="75" t="s">
        <v>46</v>
      </c>
      <c r="B104" s="83">
        <f t="shared" si="75"/>
        <v>0</v>
      </c>
      <c r="C104" s="83">
        <f t="shared" si="75"/>
        <v>0</v>
      </c>
      <c r="D104" s="83">
        <f t="shared" si="75"/>
        <v>0</v>
      </c>
      <c r="E104" s="83">
        <f t="shared" si="75"/>
        <v>0</v>
      </c>
      <c r="F104" s="83">
        <f t="shared" si="75"/>
        <v>0</v>
      </c>
      <c r="G104" s="83">
        <f t="shared" si="75"/>
        <v>0</v>
      </c>
      <c r="H104" s="83">
        <f t="shared" si="75"/>
        <v>0</v>
      </c>
    </row>
    <row r="105" spans="1:8">
      <c r="A105" s="75" t="s">
        <v>12</v>
      </c>
      <c r="B105" s="83" t="e">
        <f t="shared" si="75"/>
        <v>#DIV/0!</v>
      </c>
      <c r="C105" s="83" t="e">
        <f t="shared" si="75"/>
        <v>#DIV/0!</v>
      </c>
      <c r="D105" s="83" t="e">
        <f t="shared" si="75"/>
        <v>#DIV/0!</v>
      </c>
      <c r="E105" s="83" t="e">
        <f t="shared" si="75"/>
        <v>#DIV/0!</v>
      </c>
      <c r="F105" s="83" t="e">
        <f t="shared" si="75"/>
        <v>#DIV/0!</v>
      </c>
      <c r="G105" s="83" t="e">
        <f t="shared" si="75"/>
        <v>#DIV/0!</v>
      </c>
      <c r="H105" s="83" t="e">
        <f t="shared" si="75"/>
        <v>#DIV/0!</v>
      </c>
    </row>
    <row r="106" spans="1:8">
      <c r="A106" s="75" t="s">
        <v>27</v>
      </c>
      <c r="B106" s="83">
        <f t="shared" si="75"/>
        <v>0</v>
      </c>
      <c r="C106" s="83">
        <f t="shared" si="75"/>
        <v>0</v>
      </c>
      <c r="D106" s="83">
        <f t="shared" si="75"/>
        <v>0</v>
      </c>
      <c r="E106" s="83">
        <f t="shared" si="75"/>
        <v>0</v>
      </c>
      <c r="F106" s="83">
        <f t="shared" si="75"/>
        <v>0</v>
      </c>
      <c r="G106" s="83">
        <f t="shared" si="75"/>
        <v>0</v>
      </c>
      <c r="H106" s="83">
        <f t="shared" si="75"/>
        <v>0</v>
      </c>
    </row>
    <row r="107" spans="1:8">
      <c r="A107" s="75" t="s">
        <v>47</v>
      </c>
      <c r="B107" s="83">
        <f t="shared" si="75"/>
        <v>0</v>
      </c>
      <c r="C107" s="83">
        <f t="shared" si="75"/>
        <v>0</v>
      </c>
      <c r="D107" s="83">
        <f t="shared" si="75"/>
        <v>0</v>
      </c>
      <c r="E107" s="83">
        <f t="shared" si="75"/>
        <v>0</v>
      </c>
      <c r="F107" s="83">
        <f t="shared" si="75"/>
        <v>0</v>
      </c>
      <c r="G107" s="83">
        <f t="shared" si="75"/>
        <v>0</v>
      </c>
      <c r="H107" s="83">
        <f t="shared" si="75"/>
        <v>0</v>
      </c>
    </row>
    <row r="108" spans="1:8">
      <c r="A108" s="75" t="s">
        <v>12</v>
      </c>
      <c r="B108" s="83">
        <f t="shared" si="75"/>
        <v>0</v>
      </c>
      <c r="C108" s="83">
        <f t="shared" si="75"/>
        <v>0</v>
      </c>
      <c r="D108" s="83">
        <f t="shared" si="75"/>
        <v>0</v>
      </c>
      <c r="E108" s="83">
        <f t="shared" si="75"/>
        <v>0</v>
      </c>
      <c r="F108" s="83">
        <f t="shared" si="75"/>
        <v>0</v>
      </c>
      <c r="G108" s="83">
        <f t="shared" si="75"/>
        <v>0</v>
      </c>
      <c r="H108" s="83">
        <f t="shared" si="75"/>
        <v>0</v>
      </c>
    </row>
    <row r="109" spans="1:8">
      <c r="A109" s="75" t="s">
        <v>29</v>
      </c>
      <c r="B109" s="83">
        <f t="shared" si="75"/>
        <v>0</v>
      </c>
      <c r="C109" s="83">
        <f t="shared" si="75"/>
        <v>0</v>
      </c>
      <c r="D109" s="83">
        <f t="shared" si="75"/>
        <v>0</v>
      </c>
      <c r="E109" s="83">
        <f t="shared" si="75"/>
        <v>0</v>
      </c>
      <c r="F109" s="83">
        <f t="shared" si="75"/>
        <v>0</v>
      </c>
      <c r="G109" s="83">
        <f t="shared" si="75"/>
        <v>0</v>
      </c>
      <c r="H109" s="83">
        <f t="shared" si="75"/>
        <v>0</v>
      </c>
    </row>
    <row r="110" spans="1:8">
      <c r="A110" s="75" t="s">
        <v>48</v>
      </c>
      <c r="B110" s="83">
        <f t="shared" si="75"/>
        <v>0</v>
      </c>
      <c r="C110" s="83">
        <f t="shared" si="75"/>
        <v>0</v>
      </c>
      <c r="D110" s="83">
        <f t="shared" si="75"/>
        <v>0</v>
      </c>
      <c r="E110" s="83">
        <f t="shared" si="75"/>
        <v>0</v>
      </c>
      <c r="F110" s="83">
        <f t="shared" si="75"/>
        <v>0</v>
      </c>
      <c r="G110" s="83">
        <f t="shared" si="75"/>
        <v>0</v>
      </c>
      <c r="H110" s="83">
        <f t="shared" si="75"/>
        <v>0</v>
      </c>
    </row>
    <row r="111" spans="1:8">
      <c r="A111" s="75" t="s">
        <v>12</v>
      </c>
      <c r="B111" s="83">
        <f t="shared" si="75"/>
        <v>0</v>
      </c>
      <c r="C111" s="83">
        <f t="shared" si="75"/>
        <v>0</v>
      </c>
      <c r="D111" s="83">
        <f t="shared" si="75"/>
        <v>0</v>
      </c>
      <c r="E111" s="83">
        <f t="shared" si="75"/>
        <v>0</v>
      </c>
      <c r="F111" s="83">
        <f t="shared" si="75"/>
        <v>0</v>
      </c>
      <c r="G111" s="83">
        <f t="shared" si="75"/>
        <v>0</v>
      </c>
      <c r="H111" s="83">
        <f t="shared" si="75"/>
        <v>0</v>
      </c>
    </row>
    <row r="112" spans="1:8">
      <c r="A112" s="75" t="s">
        <v>31</v>
      </c>
      <c r="B112" s="83">
        <f t="shared" si="75"/>
        <v>0</v>
      </c>
      <c r="C112" s="83">
        <f t="shared" si="75"/>
        <v>0</v>
      </c>
      <c r="D112" s="83">
        <f t="shared" si="75"/>
        <v>0</v>
      </c>
      <c r="E112" s="83">
        <f t="shared" si="75"/>
        <v>0</v>
      </c>
      <c r="F112" s="83">
        <f t="shared" si="75"/>
        <v>0</v>
      </c>
      <c r="G112" s="83">
        <f t="shared" si="75"/>
        <v>0</v>
      </c>
      <c r="H112" s="83">
        <f t="shared" si="75"/>
        <v>0</v>
      </c>
    </row>
    <row r="113" spans="1:8">
      <c r="A113" s="75" t="s">
        <v>52</v>
      </c>
      <c r="B113" s="83">
        <f t="shared" si="75"/>
        <v>0</v>
      </c>
      <c r="C113" s="83">
        <f t="shared" si="75"/>
        <v>0</v>
      </c>
      <c r="D113" s="83">
        <f t="shared" si="75"/>
        <v>0</v>
      </c>
      <c r="E113" s="83">
        <f t="shared" si="75"/>
        <v>0</v>
      </c>
      <c r="F113" s="83">
        <f t="shared" si="75"/>
        <v>0</v>
      </c>
      <c r="G113" s="83">
        <f t="shared" si="75"/>
        <v>0</v>
      </c>
      <c r="H113" s="83">
        <f t="shared" si="75"/>
        <v>0</v>
      </c>
    </row>
    <row r="114" spans="1:8">
      <c r="A114" s="75" t="s">
        <v>12</v>
      </c>
      <c r="B114" s="83">
        <f t="shared" si="75"/>
        <v>0</v>
      </c>
      <c r="C114" s="83">
        <f t="shared" si="75"/>
        <v>0</v>
      </c>
      <c r="D114" s="83">
        <f t="shared" si="75"/>
        <v>0</v>
      </c>
      <c r="E114" s="83">
        <f t="shared" si="75"/>
        <v>0</v>
      </c>
      <c r="F114" s="83">
        <f t="shared" si="75"/>
        <v>0</v>
      </c>
      <c r="G114" s="83">
        <f t="shared" si="75"/>
        <v>0</v>
      </c>
      <c r="H114" s="83">
        <f t="shared" si="75"/>
        <v>0</v>
      </c>
    </row>
  </sheetData>
  <mergeCells count="18">
    <mergeCell ref="AA8:AH8"/>
    <mergeCell ref="R8:Y8"/>
    <mergeCell ref="I4:L4"/>
    <mergeCell ref="C5:H5"/>
    <mergeCell ref="A4:H4"/>
    <mergeCell ref="AJ19:AQ19"/>
    <mergeCell ref="A19:H19"/>
    <mergeCell ref="J19:Q19"/>
    <mergeCell ref="AA19:AH19"/>
    <mergeCell ref="AJ8:AQ8"/>
    <mergeCell ref="A12:H12"/>
    <mergeCell ref="J12:Q12"/>
    <mergeCell ref="AA12:AH12"/>
    <mergeCell ref="AJ12:AQ12"/>
    <mergeCell ref="R12:Y12"/>
    <mergeCell ref="R19:Y19"/>
    <mergeCell ref="A8:H8"/>
    <mergeCell ref="J8:Q8"/>
  </mergeCells>
  <phoneticPr fontId="17" type="noConversion"/>
  <pageMargins left="0.26" right="0.28999999999999998" top="0.25" bottom="0.34" header="0.15" footer="0.22"/>
  <pageSetup paperSize="9" orientation="landscape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1"/>
  <dimension ref="A1:BC114"/>
  <sheetViews>
    <sheetView zoomScale="70" zoomScaleNormal="70" workbookViewId="0">
      <selection activeCell="N18" sqref="N18:Q18"/>
    </sheetView>
  </sheetViews>
  <sheetFormatPr defaultRowHeight="13.2"/>
  <cols>
    <col min="1" max="1" width="15" customWidth="1"/>
    <col min="2" max="2" width="8.109375" customWidth="1"/>
    <col min="3" max="3" width="7.5546875" customWidth="1"/>
    <col min="5" max="5" width="6.88671875" customWidth="1"/>
    <col min="6" max="6" width="7.6640625" customWidth="1"/>
    <col min="7" max="7" width="7.5546875" customWidth="1"/>
    <col min="8" max="8" width="7.88671875" customWidth="1"/>
    <col min="9" max="9" width="6.109375" customWidth="1"/>
    <col min="10" max="10" width="15.6640625" customWidth="1"/>
    <col min="11" max="11" width="7.33203125" customWidth="1"/>
    <col min="12" max="12" width="8" customWidth="1"/>
    <col min="14" max="14" width="6.33203125" customWidth="1"/>
    <col min="15" max="15" width="7.88671875" customWidth="1"/>
    <col min="16" max="16" width="7.33203125" customWidth="1"/>
    <col min="17" max="17" width="7.88671875" customWidth="1"/>
    <col min="18" max="18" width="15.5546875" customWidth="1"/>
    <col min="19" max="19" width="6.88671875" customWidth="1"/>
    <col min="20" max="20" width="7.6640625" customWidth="1"/>
    <col min="22" max="22" width="7.33203125" customWidth="1"/>
    <col min="23" max="23" width="8.109375" customWidth="1"/>
    <col min="24" max="24" width="7.88671875" customWidth="1"/>
    <col min="25" max="25" width="7.33203125" customWidth="1"/>
    <col min="26" max="26" width="5.88671875" customWidth="1"/>
    <col min="27" max="27" width="15.88671875" customWidth="1"/>
    <col min="28" max="28" width="7" customWidth="1"/>
    <col min="29" max="29" width="8" customWidth="1"/>
    <col min="31" max="31" width="6.88671875" customWidth="1"/>
    <col min="32" max="32" width="7.5546875" customWidth="1"/>
    <col min="33" max="33" width="7.88671875" customWidth="1"/>
    <col min="34" max="34" width="7.109375" customWidth="1"/>
    <col min="36" max="36" width="15.33203125" customWidth="1"/>
  </cols>
  <sheetData>
    <row r="1" spans="1:55" ht="15" customHeight="1">
      <c r="A1" s="466" t="s">
        <v>59</v>
      </c>
      <c r="B1" s="466"/>
      <c r="C1" s="466"/>
      <c r="D1" s="466"/>
      <c r="E1" s="466"/>
      <c r="F1" s="466"/>
      <c r="G1" s="466"/>
      <c r="H1" s="466"/>
      <c r="J1" s="12"/>
      <c r="K1" s="37"/>
      <c r="L1" s="37"/>
      <c r="M1" s="37"/>
      <c r="N1" s="37"/>
      <c r="O1" s="37"/>
      <c r="P1" s="38" t="s">
        <v>33</v>
      </c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</row>
    <row r="2" spans="1:55" ht="15" customHeight="1">
      <c r="A2" s="467" t="s">
        <v>74</v>
      </c>
      <c r="B2" s="467"/>
      <c r="C2" s="467"/>
      <c r="D2" s="467"/>
      <c r="E2" s="12"/>
      <c r="F2" s="12"/>
      <c r="G2" s="12"/>
      <c r="H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</row>
    <row r="3" spans="1:55" ht="15" customHeight="1">
      <c r="A3" s="225"/>
      <c r="B3" s="225"/>
      <c r="C3" s="225"/>
      <c r="D3" s="225"/>
      <c r="E3" s="12"/>
      <c r="F3" s="12"/>
      <c r="G3" s="12"/>
      <c r="H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</row>
    <row r="4" spans="1:55" ht="39.75" customHeight="1">
      <c r="A4" s="468" t="s">
        <v>93</v>
      </c>
      <c r="B4" s="468"/>
      <c r="C4" s="468"/>
      <c r="D4" s="468"/>
      <c r="E4" s="468"/>
      <c r="F4" s="468"/>
      <c r="G4" s="468"/>
      <c r="H4" s="468"/>
      <c r="J4" s="40"/>
      <c r="K4" s="12"/>
      <c r="L4" s="223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</row>
    <row r="5" spans="1:55" ht="1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55" ht="15" customHeight="1">
      <c r="A6" s="56" t="s">
        <v>0</v>
      </c>
      <c r="B6" s="98" t="s">
        <v>1</v>
      </c>
      <c r="C6" s="98" t="s">
        <v>2</v>
      </c>
      <c r="D6" s="98" t="s">
        <v>3</v>
      </c>
      <c r="E6" s="98" t="s">
        <v>4</v>
      </c>
      <c r="F6" s="98" t="s">
        <v>5</v>
      </c>
      <c r="G6" s="98" t="s">
        <v>6</v>
      </c>
      <c r="H6" s="98" t="s">
        <v>7</v>
      </c>
      <c r="I6" s="232"/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98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98"/>
      <c r="AJ6" s="98" t="s">
        <v>0</v>
      </c>
      <c r="AK6" s="98" t="s">
        <v>1</v>
      </c>
      <c r="AL6" s="98" t="s">
        <v>2</v>
      </c>
      <c r="AM6" s="98" t="s">
        <v>3</v>
      </c>
      <c r="AN6" s="98" t="s">
        <v>4</v>
      </c>
      <c r="AO6" s="98" t="s">
        <v>5</v>
      </c>
      <c r="AP6" s="98" t="s">
        <v>6</v>
      </c>
      <c r="AQ6" s="98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ht="15" customHeight="1">
      <c r="A7" s="6"/>
      <c r="B7" s="98" t="s">
        <v>8</v>
      </c>
      <c r="C7" s="98" t="s">
        <v>9</v>
      </c>
      <c r="D7" s="98" t="s">
        <v>10</v>
      </c>
      <c r="E7" s="98" t="s">
        <v>9</v>
      </c>
      <c r="F7" s="98" t="s">
        <v>9</v>
      </c>
      <c r="G7" s="98" t="s">
        <v>9</v>
      </c>
      <c r="H7" s="98" t="s">
        <v>9</v>
      </c>
      <c r="I7" s="232"/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98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98"/>
      <c r="AJ7" s="98"/>
      <c r="AK7" s="98" t="s">
        <v>8</v>
      </c>
      <c r="AL7" s="98" t="s">
        <v>9</v>
      </c>
      <c r="AM7" s="98" t="s">
        <v>10</v>
      </c>
      <c r="AN7" s="98" t="s">
        <v>9</v>
      </c>
      <c r="AO7" s="98" t="s">
        <v>9</v>
      </c>
      <c r="AP7" s="98" t="s">
        <v>9</v>
      </c>
      <c r="AQ7" s="98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ht="15" customHeight="1">
      <c r="A8" s="233" t="s">
        <v>17</v>
      </c>
      <c r="B8" s="233"/>
      <c r="C8" s="233"/>
      <c r="D8" s="233"/>
      <c r="E8" s="233"/>
      <c r="F8" s="233"/>
      <c r="G8" s="233"/>
      <c r="H8" s="233"/>
      <c r="I8" s="232"/>
      <c r="J8" s="233" t="s">
        <v>17</v>
      </c>
      <c r="K8" s="233"/>
      <c r="L8" s="233"/>
      <c r="M8" s="233"/>
      <c r="N8" s="233"/>
      <c r="O8" s="233"/>
      <c r="P8" s="233"/>
      <c r="Q8" s="233"/>
      <c r="R8" s="233" t="s">
        <v>17</v>
      </c>
      <c r="S8" s="233"/>
      <c r="T8" s="233"/>
      <c r="U8" s="233"/>
      <c r="V8" s="233"/>
      <c r="W8" s="233"/>
      <c r="X8" s="233"/>
      <c r="Y8" s="233"/>
      <c r="Z8" s="233"/>
      <c r="AA8" s="233" t="s">
        <v>17</v>
      </c>
      <c r="AB8" s="233"/>
      <c r="AC8" s="233"/>
      <c r="AD8" s="233"/>
      <c r="AE8" s="233"/>
      <c r="AF8" s="233"/>
      <c r="AG8" s="233"/>
      <c r="AH8" s="233"/>
      <c r="AI8" s="233"/>
      <c r="AJ8" s="233" t="s">
        <v>17</v>
      </c>
      <c r="AK8" s="233"/>
      <c r="AL8" s="233"/>
      <c r="AM8" s="233"/>
      <c r="AN8" s="233"/>
      <c r="AO8" s="233"/>
      <c r="AP8" s="233"/>
      <c r="AQ8" s="233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</row>
    <row r="9" spans="1:55" ht="15" customHeight="1">
      <c r="A9" s="7" t="s">
        <v>18</v>
      </c>
      <c r="B9" s="7">
        <f t="shared" ref="B9:H10" si="0">B13+B20</f>
        <v>0</v>
      </c>
      <c r="C9" s="7">
        <f t="shared" si="0"/>
        <v>0</v>
      </c>
      <c r="D9" s="7">
        <f t="shared" si="0"/>
        <v>0</v>
      </c>
      <c r="E9" s="7">
        <f t="shared" si="0"/>
        <v>0</v>
      </c>
      <c r="F9" s="235">
        <f t="shared" si="0"/>
        <v>0</v>
      </c>
      <c r="G9" s="7">
        <f t="shared" si="0"/>
        <v>0</v>
      </c>
      <c r="H9" s="7">
        <f t="shared" si="0"/>
        <v>0</v>
      </c>
      <c r="I9" s="246"/>
      <c r="J9" s="7" t="s">
        <v>18</v>
      </c>
      <c r="K9" s="7">
        <f t="shared" ref="K9:Q10" si="1">K13+K20</f>
        <v>0</v>
      </c>
      <c r="L9" s="7">
        <f t="shared" si="1"/>
        <v>0</v>
      </c>
      <c r="M9" s="7">
        <f t="shared" si="1"/>
        <v>0</v>
      </c>
      <c r="N9" s="7">
        <f t="shared" si="1"/>
        <v>0</v>
      </c>
      <c r="O9" s="7">
        <f t="shared" si="1"/>
        <v>0</v>
      </c>
      <c r="P9" s="7">
        <f t="shared" si="1"/>
        <v>0</v>
      </c>
      <c r="Q9" s="7">
        <f t="shared" si="1"/>
        <v>0</v>
      </c>
      <c r="R9" s="7" t="s">
        <v>18</v>
      </c>
      <c r="S9" s="7">
        <f t="shared" ref="S9:Y10" si="2">S13+S20</f>
        <v>0</v>
      </c>
      <c r="T9" s="7">
        <f t="shared" si="2"/>
        <v>0</v>
      </c>
      <c r="U9" s="7">
        <f t="shared" si="2"/>
        <v>0</v>
      </c>
      <c r="V9" s="7">
        <f t="shared" si="2"/>
        <v>0</v>
      </c>
      <c r="W9" s="7">
        <f t="shared" si="2"/>
        <v>0</v>
      </c>
      <c r="X9" s="7">
        <f t="shared" si="2"/>
        <v>0</v>
      </c>
      <c r="Y9" s="7">
        <f t="shared" si="2"/>
        <v>0</v>
      </c>
      <c r="Z9" s="112"/>
      <c r="AA9" s="7" t="s">
        <v>18</v>
      </c>
      <c r="AB9" s="7">
        <f t="shared" ref="AB9:AH10" si="3">AB13+AB20</f>
        <v>0</v>
      </c>
      <c r="AC9" s="7">
        <f t="shared" si="3"/>
        <v>0</v>
      </c>
      <c r="AD9" s="7">
        <f t="shared" si="3"/>
        <v>0</v>
      </c>
      <c r="AE9" s="7">
        <f t="shared" si="3"/>
        <v>0</v>
      </c>
      <c r="AF9" s="7">
        <f t="shared" si="3"/>
        <v>0</v>
      </c>
      <c r="AG9" s="7">
        <f t="shared" si="3"/>
        <v>0</v>
      </c>
      <c r="AH9" s="7">
        <f t="shared" si="3"/>
        <v>0</v>
      </c>
      <c r="AI9" s="112"/>
      <c r="AJ9" s="7" t="s">
        <v>18</v>
      </c>
      <c r="AK9" s="7">
        <f t="shared" ref="AK9:AQ10" si="4">AK13+AK20</f>
        <v>0</v>
      </c>
      <c r="AL9" s="7">
        <f t="shared" si="4"/>
        <v>0</v>
      </c>
      <c r="AM9" s="235">
        <f t="shared" si="4"/>
        <v>0</v>
      </c>
      <c r="AN9" s="7">
        <f t="shared" si="4"/>
        <v>0</v>
      </c>
      <c r="AO9" s="235">
        <f t="shared" si="4"/>
        <v>0</v>
      </c>
      <c r="AP9" s="7">
        <f t="shared" si="4"/>
        <v>0</v>
      </c>
      <c r="AQ9" s="7">
        <f t="shared" si="4"/>
        <v>0</v>
      </c>
      <c r="AR9" s="228"/>
      <c r="AS9" s="228"/>
      <c r="AT9" s="228"/>
      <c r="AU9" s="228"/>
      <c r="AV9" s="228"/>
      <c r="AW9" s="228"/>
      <c r="AX9" s="228"/>
      <c r="AY9" s="228"/>
      <c r="AZ9" s="228"/>
      <c r="BA9" s="228"/>
      <c r="BB9" s="228"/>
      <c r="BC9" s="228"/>
    </row>
    <row r="10" spans="1:55" ht="15" customHeight="1">
      <c r="A10" s="7" t="s">
        <v>19</v>
      </c>
      <c r="B10" s="222">
        <f>B14+B21</f>
        <v>0</v>
      </c>
      <c r="C10" s="7">
        <f t="shared" si="0"/>
        <v>0</v>
      </c>
      <c r="D10" s="7">
        <f t="shared" si="0"/>
        <v>0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si="0"/>
        <v>0</v>
      </c>
      <c r="I10" s="246"/>
      <c r="J10" s="7" t="s">
        <v>19</v>
      </c>
      <c r="K10" s="7">
        <f t="shared" si="1"/>
        <v>0</v>
      </c>
      <c r="L10" s="7">
        <f t="shared" si="1"/>
        <v>0</v>
      </c>
      <c r="M10" s="7">
        <f>M14+M21</f>
        <v>0</v>
      </c>
      <c r="N10" s="7">
        <f t="shared" si="1"/>
        <v>0</v>
      </c>
      <c r="O10" s="7">
        <f t="shared" si="1"/>
        <v>0</v>
      </c>
      <c r="P10" s="7">
        <f t="shared" si="1"/>
        <v>0</v>
      </c>
      <c r="Q10" s="7">
        <f t="shared" si="1"/>
        <v>0</v>
      </c>
      <c r="R10" s="7" t="s">
        <v>19</v>
      </c>
      <c r="S10" s="7">
        <f t="shared" si="2"/>
        <v>0</v>
      </c>
      <c r="T10" s="7">
        <f t="shared" si="2"/>
        <v>0</v>
      </c>
      <c r="U10" s="7">
        <f t="shared" si="2"/>
        <v>0</v>
      </c>
      <c r="V10" s="7">
        <f t="shared" si="2"/>
        <v>0</v>
      </c>
      <c r="W10" s="7">
        <f t="shared" si="2"/>
        <v>0</v>
      </c>
      <c r="X10" s="7">
        <f t="shared" si="2"/>
        <v>0</v>
      </c>
      <c r="Y10" s="7">
        <f t="shared" si="2"/>
        <v>0</v>
      </c>
      <c r="Z10" s="112"/>
      <c r="AA10" s="7" t="s">
        <v>19</v>
      </c>
      <c r="AB10" s="222">
        <f t="shared" si="3"/>
        <v>0</v>
      </c>
      <c r="AC10" s="7">
        <f t="shared" si="3"/>
        <v>0</v>
      </c>
      <c r="AD10" s="7">
        <f t="shared" si="3"/>
        <v>0</v>
      </c>
      <c r="AE10" s="7">
        <f t="shared" si="3"/>
        <v>0</v>
      </c>
      <c r="AF10" s="7">
        <f t="shared" si="3"/>
        <v>0</v>
      </c>
      <c r="AG10" s="7">
        <f t="shared" si="3"/>
        <v>0</v>
      </c>
      <c r="AH10" s="7">
        <f t="shared" si="3"/>
        <v>0</v>
      </c>
      <c r="AI10" s="112"/>
      <c r="AJ10" s="7" t="s">
        <v>19</v>
      </c>
      <c r="AK10" s="7">
        <f t="shared" si="4"/>
        <v>0</v>
      </c>
      <c r="AL10" s="7">
        <f t="shared" si="4"/>
        <v>0</v>
      </c>
      <c r="AM10" s="7">
        <f t="shared" si="4"/>
        <v>0</v>
      </c>
      <c r="AN10" s="7">
        <f t="shared" si="4"/>
        <v>0</v>
      </c>
      <c r="AO10" s="7">
        <f t="shared" si="4"/>
        <v>0</v>
      </c>
      <c r="AP10" s="7">
        <f t="shared" si="4"/>
        <v>0</v>
      </c>
      <c r="AQ10" s="7">
        <f t="shared" si="4"/>
        <v>0</v>
      </c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</row>
    <row r="11" spans="1:55" ht="15" customHeight="1">
      <c r="A11" s="7" t="s">
        <v>20</v>
      </c>
      <c r="B11" s="236" t="e">
        <f t="shared" ref="B11:H11" si="5">B10/B9*100</f>
        <v>#DIV/0!</v>
      </c>
      <c r="C11" s="236" t="e">
        <f t="shared" si="5"/>
        <v>#DIV/0!</v>
      </c>
      <c r="D11" s="236" t="e">
        <f t="shared" si="5"/>
        <v>#DIV/0!</v>
      </c>
      <c r="E11" s="236" t="e">
        <f t="shared" si="5"/>
        <v>#DIV/0!</v>
      </c>
      <c r="F11" s="236" t="e">
        <f t="shared" si="5"/>
        <v>#DIV/0!</v>
      </c>
      <c r="G11" s="236" t="e">
        <f t="shared" si="5"/>
        <v>#DIV/0!</v>
      </c>
      <c r="H11" s="236" t="e">
        <f t="shared" si="5"/>
        <v>#DIV/0!</v>
      </c>
      <c r="I11" s="246"/>
      <c r="J11" s="7" t="s">
        <v>20</v>
      </c>
      <c r="K11" s="236" t="e">
        <f t="shared" ref="K11:Q11" si="6">K10/K9*100</f>
        <v>#DIV/0!</v>
      </c>
      <c r="L11" s="236" t="e">
        <f t="shared" si="6"/>
        <v>#DIV/0!</v>
      </c>
      <c r="M11" s="236" t="e">
        <f t="shared" si="6"/>
        <v>#DIV/0!</v>
      </c>
      <c r="N11" s="236" t="e">
        <f t="shared" si="6"/>
        <v>#DIV/0!</v>
      </c>
      <c r="O11" s="236" t="e">
        <f t="shared" si="6"/>
        <v>#DIV/0!</v>
      </c>
      <c r="P11" s="236" t="e">
        <f t="shared" si="6"/>
        <v>#DIV/0!</v>
      </c>
      <c r="Q11" s="236" t="e">
        <f t="shared" si="6"/>
        <v>#DIV/0!</v>
      </c>
      <c r="R11" s="7" t="s">
        <v>20</v>
      </c>
      <c r="S11" s="236" t="e">
        <f t="shared" ref="S11:Y11" si="7">S10/S9*100</f>
        <v>#DIV/0!</v>
      </c>
      <c r="T11" s="236" t="e">
        <f t="shared" si="7"/>
        <v>#DIV/0!</v>
      </c>
      <c r="U11" s="236" t="e">
        <f t="shared" si="7"/>
        <v>#DIV/0!</v>
      </c>
      <c r="V11" s="236" t="e">
        <f t="shared" si="7"/>
        <v>#DIV/0!</v>
      </c>
      <c r="W11" s="236" t="e">
        <f t="shared" si="7"/>
        <v>#DIV/0!</v>
      </c>
      <c r="X11" s="236" t="e">
        <f t="shared" si="7"/>
        <v>#DIV/0!</v>
      </c>
      <c r="Y11" s="236" t="e">
        <f t="shared" si="7"/>
        <v>#DIV/0!</v>
      </c>
      <c r="Z11" s="239"/>
      <c r="AA11" s="7" t="s">
        <v>20</v>
      </c>
      <c r="AB11" s="236" t="e">
        <f t="shared" ref="AB11:AH11" si="8">AB10/AB9*100</f>
        <v>#DIV/0!</v>
      </c>
      <c r="AC11" s="236" t="e">
        <f t="shared" si="8"/>
        <v>#DIV/0!</v>
      </c>
      <c r="AD11" s="236" t="e">
        <f t="shared" si="8"/>
        <v>#DIV/0!</v>
      </c>
      <c r="AE11" s="236" t="e">
        <f t="shared" si="8"/>
        <v>#DIV/0!</v>
      </c>
      <c r="AF11" s="236" t="e">
        <f t="shared" si="8"/>
        <v>#DIV/0!</v>
      </c>
      <c r="AG11" s="236" t="e">
        <f t="shared" si="8"/>
        <v>#DIV/0!</v>
      </c>
      <c r="AH11" s="236" t="e">
        <f t="shared" si="8"/>
        <v>#DIV/0!</v>
      </c>
      <c r="AI11" s="239"/>
      <c r="AJ11" s="7" t="s">
        <v>20</v>
      </c>
      <c r="AK11" s="236" t="e">
        <f>AK10/AK9*100</f>
        <v>#DIV/0!</v>
      </c>
      <c r="AL11" s="236" t="e">
        <f>AL10/AL9*100</f>
        <v>#DIV/0!</v>
      </c>
      <c r="AM11" s="236" t="e">
        <f>AM10/AM9*100</f>
        <v>#DIV/0!</v>
      </c>
      <c r="AN11" s="236">
        <v>0</v>
      </c>
      <c r="AO11" s="236" t="e">
        <f>AO10/AO9*100</f>
        <v>#DIV/0!</v>
      </c>
      <c r="AP11" s="236" t="e">
        <f>AP10/AP9*100</f>
        <v>#DIV/0!</v>
      </c>
      <c r="AQ11" s="236" t="e">
        <f>AQ10/AQ9*100</f>
        <v>#DIV/0!</v>
      </c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</row>
    <row r="12" spans="1:55" ht="15" customHeight="1">
      <c r="A12" s="240" t="s">
        <v>11</v>
      </c>
      <c r="B12" s="241"/>
      <c r="C12" s="241"/>
      <c r="D12" s="241"/>
      <c r="E12" s="241"/>
      <c r="F12" s="241"/>
      <c r="G12" s="241"/>
      <c r="H12" s="242"/>
      <c r="I12" s="246"/>
      <c r="J12" s="240" t="s">
        <v>11</v>
      </c>
      <c r="K12" s="241"/>
      <c r="L12" s="241"/>
      <c r="M12" s="241"/>
      <c r="N12" s="241"/>
      <c r="O12" s="241"/>
      <c r="P12" s="241"/>
      <c r="Q12" s="242"/>
      <c r="R12" s="240" t="s">
        <v>11</v>
      </c>
      <c r="S12" s="241"/>
      <c r="T12" s="241"/>
      <c r="U12" s="241"/>
      <c r="V12" s="241"/>
      <c r="W12" s="241"/>
      <c r="X12" s="241"/>
      <c r="Y12" s="242"/>
      <c r="Z12" s="243"/>
      <c r="AA12" s="240" t="s">
        <v>11</v>
      </c>
      <c r="AB12" s="241"/>
      <c r="AC12" s="241"/>
      <c r="AD12" s="241"/>
      <c r="AE12" s="241"/>
      <c r="AF12" s="241"/>
      <c r="AG12" s="241"/>
      <c r="AH12" s="242"/>
      <c r="AI12" s="243"/>
      <c r="AJ12" s="240" t="s">
        <v>11</v>
      </c>
      <c r="AK12" s="241"/>
      <c r="AL12" s="241"/>
      <c r="AM12" s="241"/>
      <c r="AN12" s="241"/>
      <c r="AO12" s="241"/>
      <c r="AP12" s="241"/>
      <c r="AQ12" s="242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</row>
    <row r="13" spans="1:55" ht="15" customHeight="1">
      <c r="A13" s="18" t="s">
        <v>18</v>
      </c>
      <c r="B13" s="19">
        <f>K13+S13+AK13</f>
        <v>0</v>
      </c>
      <c r="C13" s="19">
        <f>L13+T13+AL13</f>
        <v>0</v>
      </c>
      <c r="D13" s="19">
        <f>E13+F13+G13+H13</f>
        <v>0</v>
      </c>
      <c r="E13" s="19">
        <f t="shared" ref="E13:H14" si="9">N13+V13+AN13</f>
        <v>0</v>
      </c>
      <c r="F13" s="236">
        <f t="shared" si="9"/>
        <v>0</v>
      </c>
      <c r="G13" s="19">
        <f t="shared" si="9"/>
        <v>0</v>
      </c>
      <c r="H13" s="19">
        <f t="shared" si="9"/>
        <v>0</v>
      </c>
      <c r="I13" s="246"/>
      <c r="J13" s="18" t="s">
        <v>18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8" t="s">
        <v>18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37"/>
      <c r="AA13" s="18" t="s">
        <v>18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237"/>
      <c r="AJ13" s="18" t="s">
        <v>18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229"/>
      <c r="AS13" s="229"/>
      <c r="AT13" s="229"/>
      <c r="AU13" s="229"/>
      <c r="AV13" s="229"/>
      <c r="AW13" s="229"/>
      <c r="AX13" s="229"/>
      <c r="AY13" s="229"/>
      <c r="AZ13" s="229"/>
      <c r="BA13" s="229"/>
      <c r="BB13" s="229"/>
      <c r="BC13" s="229"/>
    </row>
    <row r="14" spans="1:55" ht="15" customHeight="1">
      <c r="A14" s="18" t="s">
        <v>19</v>
      </c>
      <c r="B14" s="19">
        <f>K14+S14+AK14</f>
        <v>0</v>
      </c>
      <c r="C14" s="19">
        <f>L14+T14+AL14</f>
        <v>0</v>
      </c>
      <c r="D14" s="19">
        <f>E14+F14+G14+H14</f>
        <v>0</v>
      </c>
      <c r="E14" s="19">
        <f t="shared" si="9"/>
        <v>0</v>
      </c>
      <c r="F14" s="19">
        <f t="shared" si="9"/>
        <v>0</v>
      </c>
      <c r="G14" s="19">
        <f t="shared" si="9"/>
        <v>0</v>
      </c>
      <c r="H14" s="19">
        <f t="shared" si="9"/>
        <v>0</v>
      </c>
      <c r="I14" s="246"/>
      <c r="J14" s="18" t="s">
        <v>19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8" t="s">
        <v>19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37"/>
      <c r="AA14" s="18" t="s">
        <v>19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237"/>
      <c r="AJ14" s="18" t="s">
        <v>19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229"/>
      <c r="AS14" s="229"/>
      <c r="AT14" s="229"/>
      <c r="AU14" s="229"/>
      <c r="AV14" s="229"/>
      <c r="AW14" s="229"/>
      <c r="AX14" s="229"/>
      <c r="AY14" s="229"/>
      <c r="AZ14" s="229"/>
      <c r="BA14" s="229"/>
      <c r="BB14" s="229"/>
      <c r="BC14" s="229"/>
    </row>
    <row r="15" spans="1:55" ht="15" customHeight="1">
      <c r="A15" s="18" t="s">
        <v>20</v>
      </c>
      <c r="B15" s="236" t="e">
        <f t="shared" ref="B15:H15" si="10">B14/B13*100</f>
        <v>#DIV/0!</v>
      </c>
      <c r="C15" s="236" t="e">
        <f t="shared" si="10"/>
        <v>#DIV/0!</v>
      </c>
      <c r="D15" s="236" t="e">
        <f t="shared" si="10"/>
        <v>#DIV/0!</v>
      </c>
      <c r="E15" s="236" t="e">
        <f t="shared" si="10"/>
        <v>#DIV/0!</v>
      </c>
      <c r="F15" s="236" t="e">
        <f t="shared" si="10"/>
        <v>#DIV/0!</v>
      </c>
      <c r="G15" s="236" t="e">
        <f t="shared" si="10"/>
        <v>#DIV/0!</v>
      </c>
      <c r="H15" s="236" t="e">
        <f t="shared" si="10"/>
        <v>#DIV/0!</v>
      </c>
      <c r="I15" s="246"/>
      <c r="J15" s="18" t="s">
        <v>20</v>
      </c>
      <c r="K15" s="236" t="e">
        <f>K14/K13*100</f>
        <v>#DIV/0!</v>
      </c>
      <c r="L15" s="236" t="e">
        <f>L14/L13*100</f>
        <v>#DIV/0!</v>
      </c>
      <c r="M15" s="236" t="e">
        <f>M14/M13*100</f>
        <v>#DIV/0!</v>
      </c>
      <c r="N15" s="236">
        <v>0</v>
      </c>
      <c r="O15" s="236">
        <v>0</v>
      </c>
      <c r="P15" s="236">
        <v>0</v>
      </c>
      <c r="Q15" s="236">
        <v>0</v>
      </c>
      <c r="R15" s="18" t="s">
        <v>20</v>
      </c>
      <c r="S15" s="236" t="e">
        <f t="shared" ref="S15:Y15" si="11">S14/S13*100</f>
        <v>#DIV/0!</v>
      </c>
      <c r="T15" s="236" t="e">
        <f t="shared" si="11"/>
        <v>#DIV/0!</v>
      </c>
      <c r="U15" s="236" t="e">
        <f t="shared" si="11"/>
        <v>#DIV/0!</v>
      </c>
      <c r="V15" s="236" t="e">
        <f t="shared" si="11"/>
        <v>#DIV/0!</v>
      </c>
      <c r="W15" s="236" t="e">
        <f t="shared" si="11"/>
        <v>#DIV/0!</v>
      </c>
      <c r="X15" s="236" t="e">
        <f t="shared" si="11"/>
        <v>#DIV/0!</v>
      </c>
      <c r="Y15" s="236" t="e">
        <f t="shared" si="11"/>
        <v>#DIV/0!</v>
      </c>
      <c r="Z15" s="239"/>
      <c r="AA15" s="18" t="s">
        <v>20</v>
      </c>
      <c r="AB15" s="236" t="e">
        <f t="shared" ref="AB15:AH15" si="12">AB14/AB13*100</f>
        <v>#DIV/0!</v>
      </c>
      <c r="AC15" s="236" t="e">
        <f t="shared" si="12"/>
        <v>#DIV/0!</v>
      </c>
      <c r="AD15" s="236" t="e">
        <f t="shared" si="12"/>
        <v>#DIV/0!</v>
      </c>
      <c r="AE15" s="236" t="e">
        <f t="shared" si="12"/>
        <v>#DIV/0!</v>
      </c>
      <c r="AF15" s="236" t="e">
        <f t="shared" si="12"/>
        <v>#DIV/0!</v>
      </c>
      <c r="AG15" s="236" t="e">
        <f t="shared" si="12"/>
        <v>#DIV/0!</v>
      </c>
      <c r="AH15" s="236" t="e">
        <f t="shared" si="12"/>
        <v>#DIV/0!</v>
      </c>
      <c r="AI15" s="239"/>
      <c r="AJ15" s="18" t="s">
        <v>20</v>
      </c>
      <c r="AK15" s="236" t="e">
        <f>AK14/AK13*100</f>
        <v>#DIV/0!</v>
      </c>
      <c r="AL15" s="236" t="e">
        <f>AL14/AL13*100</f>
        <v>#DIV/0!</v>
      </c>
      <c r="AM15" s="236" t="e">
        <f>AM14/AM13*100</f>
        <v>#DIV/0!</v>
      </c>
      <c r="AN15" s="236">
        <v>0</v>
      </c>
      <c r="AO15" s="236" t="e">
        <f>AO14/AO13*100</f>
        <v>#DIV/0!</v>
      </c>
      <c r="AP15" s="236" t="e">
        <f>AP14/AP13*100</f>
        <v>#DIV/0!</v>
      </c>
      <c r="AQ15" s="236" t="e">
        <f>AQ14/AQ13*100</f>
        <v>#DIV/0!</v>
      </c>
    </row>
    <row r="16" spans="1:55" ht="15" customHeight="1">
      <c r="A16" s="19" t="s">
        <v>13</v>
      </c>
      <c r="B16" s="19">
        <f t="shared" ref="B16:C18" si="13">K16+S16+AK16</f>
        <v>0</v>
      </c>
      <c r="C16" s="19">
        <f t="shared" si="13"/>
        <v>0</v>
      </c>
      <c r="D16" s="19">
        <f>E16+F16+G16+H16</f>
        <v>0</v>
      </c>
      <c r="E16" s="19">
        <f t="shared" ref="E16:H18" si="14">N16+V16+AN16</f>
        <v>0</v>
      </c>
      <c r="F16" s="19">
        <f t="shared" si="14"/>
        <v>0</v>
      </c>
      <c r="G16" s="19">
        <f t="shared" si="14"/>
        <v>0</v>
      </c>
      <c r="H16" s="19">
        <f t="shared" si="14"/>
        <v>0</v>
      </c>
      <c r="I16" s="246"/>
      <c r="J16" s="19" t="s">
        <v>13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 t="s">
        <v>13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37"/>
      <c r="AA16" s="19" t="s">
        <v>13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237"/>
      <c r="AJ16" s="19" t="s">
        <v>13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</row>
    <row r="17" spans="1:43" ht="15" customHeight="1">
      <c r="A17" s="19" t="s">
        <v>14</v>
      </c>
      <c r="B17" s="19">
        <f t="shared" si="13"/>
        <v>0</v>
      </c>
      <c r="C17" s="19">
        <f t="shared" si="13"/>
        <v>0</v>
      </c>
      <c r="D17" s="19">
        <f>E17+F17+G17+H17</f>
        <v>0</v>
      </c>
      <c r="E17" s="19">
        <f t="shared" si="14"/>
        <v>0</v>
      </c>
      <c r="F17" s="19">
        <f t="shared" si="14"/>
        <v>0</v>
      </c>
      <c r="G17" s="19">
        <f t="shared" si="14"/>
        <v>0</v>
      </c>
      <c r="H17" s="19">
        <f t="shared" si="14"/>
        <v>0</v>
      </c>
      <c r="I17" s="246"/>
      <c r="J17" s="19" t="s">
        <v>14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14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37"/>
      <c r="AA17" s="19" t="s">
        <v>14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237"/>
      <c r="AJ17" s="19" t="s">
        <v>14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</row>
    <row r="18" spans="1:43" ht="15" customHeight="1">
      <c r="A18" s="19" t="s">
        <v>15</v>
      </c>
      <c r="B18" s="19">
        <f t="shared" si="13"/>
        <v>0</v>
      </c>
      <c r="C18" s="19">
        <f t="shared" si="13"/>
        <v>0</v>
      </c>
      <c r="D18" s="19">
        <f>E18+F18+G18+H18</f>
        <v>0</v>
      </c>
      <c r="E18" s="19">
        <f t="shared" si="14"/>
        <v>0</v>
      </c>
      <c r="F18" s="19">
        <f t="shared" si="14"/>
        <v>0</v>
      </c>
      <c r="G18" s="19">
        <f t="shared" si="14"/>
        <v>0</v>
      </c>
      <c r="H18" s="19">
        <f t="shared" si="14"/>
        <v>0</v>
      </c>
      <c r="I18" s="246"/>
      <c r="J18" s="19" t="s">
        <v>15</v>
      </c>
      <c r="K18" s="19"/>
      <c r="L18" s="19"/>
      <c r="M18" s="19">
        <f>N18+O18+P18+Q18</f>
        <v>0</v>
      </c>
      <c r="N18" s="19"/>
      <c r="O18" s="19"/>
      <c r="P18" s="19"/>
      <c r="Q18" s="19"/>
      <c r="R18" s="19" t="s">
        <v>15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37"/>
      <c r="AA18" s="19" t="s">
        <v>15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237"/>
      <c r="AJ18" s="19" t="s">
        <v>15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</row>
    <row r="19" spans="1:43" ht="15" customHeight="1">
      <c r="A19" s="240" t="s">
        <v>16</v>
      </c>
      <c r="B19" s="241"/>
      <c r="C19" s="241"/>
      <c r="D19" s="241"/>
      <c r="E19" s="241"/>
      <c r="F19" s="241"/>
      <c r="G19" s="241"/>
      <c r="H19" s="242"/>
      <c r="I19" s="246"/>
      <c r="J19" s="240" t="s">
        <v>16</v>
      </c>
      <c r="K19" s="241"/>
      <c r="L19" s="241"/>
      <c r="M19" s="241"/>
      <c r="N19" s="241"/>
      <c r="O19" s="241"/>
      <c r="P19" s="241"/>
      <c r="Q19" s="242"/>
      <c r="R19" s="240" t="s">
        <v>16</v>
      </c>
      <c r="S19" s="241"/>
      <c r="T19" s="241"/>
      <c r="U19" s="241"/>
      <c r="V19" s="241"/>
      <c r="W19" s="241"/>
      <c r="X19" s="241"/>
      <c r="Y19" s="242"/>
      <c r="Z19" s="243"/>
      <c r="AA19" s="240" t="s">
        <v>16</v>
      </c>
      <c r="AB19" s="241"/>
      <c r="AC19" s="241"/>
      <c r="AD19" s="241"/>
      <c r="AE19" s="241"/>
      <c r="AF19" s="241"/>
      <c r="AG19" s="241"/>
      <c r="AH19" s="242"/>
      <c r="AI19" s="243"/>
      <c r="AJ19" s="240" t="s">
        <v>16</v>
      </c>
      <c r="AK19" s="241"/>
      <c r="AL19" s="241"/>
      <c r="AM19" s="241"/>
      <c r="AN19" s="241"/>
      <c r="AO19" s="241"/>
      <c r="AP19" s="241"/>
      <c r="AQ19" s="242"/>
    </row>
    <row r="20" spans="1:43" ht="15" customHeight="1">
      <c r="A20" s="18" t="s">
        <v>18</v>
      </c>
      <c r="B20" s="19">
        <f t="shared" ref="B20:H21" si="15">B23+B26+B29+B32+B35+B38</f>
        <v>0</v>
      </c>
      <c r="C20" s="19">
        <f t="shared" si="15"/>
        <v>0</v>
      </c>
      <c r="D20" s="19">
        <f t="shared" si="15"/>
        <v>0</v>
      </c>
      <c r="E20" s="19">
        <f t="shared" si="15"/>
        <v>0</v>
      </c>
      <c r="F20" s="19">
        <f t="shared" si="15"/>
        <v>0</v>
      </c>
      <c r="G20" s="19">
        <f t="shared" si="15"/>
        <v>0</v>
      </c>
      <c r="H20" s="19">
        <f t="shared" si="15"/>
        <v>0</v>
      </c>
      <c r="I20" s="246"/>
      <c r="J20" s="18" t="s">
        <v>18</v>
      </c>
      <c r="K20" s="19">
        <f t="shared" ref="K20:Q21" si="16">K23+K26+K29+K32+K35+K38</f>
        <v>0</v>
      </c>
      <c r="L20" s="19">
        <f t="shared" si="16"/>
        <v>0</v>
      </c>
      <c r="M20" s="19">
        <f t="shared" si="16"/>
        <v>0</v>
      </c>
      <c r="N20" s="19">
        <f t="shared" si="16"/>
        <v>0</v>
      </c>
      <c r="O20" s="19">
        <f t="shared" si="16"/>
        <v>0</v>
      </c>
      <c r="P20" s="19">
        <f t="shared" si="16"/>
        <v>0</v>
      </c>
      <c r="Q20" s="19">
        <f t="shared" si="16"/>
        <v>0</v>
      </c>
      <c r="R20" s="18" t="s">
        <v>18</v>
      </c>
      <c r="S20" s="19">
        <f t="shared" ref="S20:Y21" si="17">S23+S26+S29+S32+S35+S38</f>
        <v>0</v>
      </c>
      <c r="T20" s="19">
        <f t="shared" si="17"/>
        <v>0</v>
      </c>
      <c r="U20" s="19">
        <f t="shared" si="17"/>
        <v>0</v>
      </c>
      <c r="V20" s="19">
        <f t="shared" si="17"/>
        <v>0</v>
      </c>
      <c r="W20" s="19">
        <f t="shared" si="17"/>
        <v>0</v>
      </c>
      <c r="X20" s="19">
        <f t="shared" si="17"/>
        <v>0</v>
      </c>
      <c r="Y20" s="19">
        <f t="shared" si="17"/>
        <v>0</v>
      </c>
      <c r="Z20" s="237"/>
      <c r="AA20" s="18" t="s">
        <v>18</v>
      </c>
      <c r="AB20" s="126">
        <f t="shared" ref="AB20:AH21" si="18">AB23+AB26+AB29+AB32+AB35+AB38</f>
        <v>0</v>
      </c>
      <c r="AC20" s="19">
        <f t="shared" si="18"/>
        <v>0</v>
      </c>
      <c r="AD20" s="19">
        <f t="shared" si="18"/>
        <v>0</v>
      </c>
      <c r="AE20" s="19">
        <f t="shared" si="18"/>
        <v>0</v>
      </c>
      <c r="AF20" s="19">
        <f t="shared" si="18"/>
        <v>0</v>
      </c>
      <c r="AG20" s="19">
        <f t="shared" si="18"/>
        <v>0</v>
      </c>
      <c r="AH20" s="19">
        <f t="shared" si="18"/>
        <v>0</v>
      </c>
      <c r="AI20" s="237"/>
      <c r="AJ20" s="18" t="s">
        <v>18</v>
      </c>
      <c r="AK20" s="19">
        <f t="shared" ref="AK20:AQ21" si="19">AK23+AK26+AK29+AK32+AK35+AK38</f>
        <v>0</v>
      </c>
      <c r="AL20" s="19">
        <f t="shared" si="19"/>
        <v>0</v>
      </c>
      <c r="AM20" s="19">
        <f t="shared" si="19"/>
        <v>0</v>
      </c>
      <c r="AN20" s="19">
        <f t="shared" si="19"/>
        <v>0</v>
      </c>
      <c r="AO20" s="19">
        <f t="shared" si="19"/>
        <v>0</v>
      </c>
      <c r="AP20" s="19">
        <f t="shared" si="19"/>
        <v>0</v>
      </c>
      <c r="AQ20" s="19">
        <f t="shared" si="19"/>
        <v>0</v>
      </c>
    </row>
    <row r="21" spans="1:43" ht="15" customHeight="1">
      <c r="A21" s="18" t="s">
        <v>19</v>
      </c>
      <c r="B21" s="126">
        <f>B24+B27+B30+B33+B36+B39</f>
        <v>0</v>
      </c>
      <c r="C21" s="19">
        <f>C24+C27+C30+C33+C36+C39</f>
        <v>0</v>
      </c>
      <c r="D21" s="19">
        <f t="shared" si="15"/>
        <v>0</v>
      </c>
      <c r="E21" s="19">
        <f t="shared" si="15"/>
        <v>0</v>
      </c>
      <c r="F21" s="19">
        <f t="shared" si="15"/>
        <v>0</v>
      </c>
      <c r="G21" s="19">
        <f t="shared" si="15"/>
        <v>0</v>
      </c>
      <c r="H21" s="19">
        <f t="shared" si="15"/>
        <v>0</v>
      </c>
      <c r="I21" s="246"/>
      <c r="J21" s="18" t="s">
        <v>19</v>
      </c>
      <c r="K21" s="126">
        <f>K24+K27+K30+K33+K36+K39</f>
        <v>0</v>
      </c>
      <c r="L21" s="19">
        <f t="shared" si="16"/>
        <v>0</v>
      </c>
      <c r="M21" s="19">
        <f>M24+M27+M30+M33+M36+M39</f>
        <v>0</v>
      </c>
      <c r="N21" s="19">
        <f t="shared" si="16"/>
        <v>0</v>
      </c>
      <c r="O21" s="19">
        <f t="shared" si="16"/>
        <v>0</v>
      </c>
      <c r="P21" s="19">
        <f t="shared" si="16"/>
        <v>0</v>
      </c>
      <c r="Q21" s="19">
        <f>Q24+Q27+Q30+Q33+Q36+Q39</f>
        <v>0</v>
      </c>
      <c r="R21" s="18" t="s">
        <v>19</v>
      </c>
      <c r="S21" s="126">
        <f>S24+S27+S30+S33+S36+S39</f>
        <v>0</v>
      </c>
      <c r="T21" s="19">
        <f t="shared" si="17"/>
        <v>0</v>
      </c>
      <c r="U21" s="19">
        <f t="shared" si="17"/>
        <v>0</v>
      </c>
      <c r="V21" s="19">
        <f t="shared" si="17"/>
        <v>0</v>
      </c>
      <c r="W21" s="19">
        <f t="shared" si="17"/>
        <v>0</v>
      </c>
      <c r="X21" s="19">
        <f t="shared" si="17"/>
        <v>0</v>
      </c>
      <c r="Y21" s="19">
        <f t="shared" si="17"/>
        <v>0</v>
      </c>
      <c r="Z21" s="237"/>
      <c r="AA21" s="18" t="s">
        <v>19</v>
      </c>
      <c r="AB21" s="126">
        <f>AB24+AB27+AB30+AB33+AB36+AB39</f>
        <v>0</v>
      </c>
      <c r="AC21" s="19">
        <f t="shared" si="18"/>
        <v>0</v>
      </c>
      <c r="AD21" s="19">
        <f t="shared" si="18"/>
        <v>0</v>
      </c>
      <c r="AE21" s="19">
        <f t="shared" si="18"/>
        <v>0</v>
      </c>
      <c r="AF21" s="19">
        <f t="shared" si="18"/>
        <v>0</v>
      </c>
      <c r="AG21" s="19">
        <f t="shared" si="18"/>
        <v>0</v>
      </c>
      <c r="AH21" s="19">
        <f t="shared" si="18"/>
        <v>0</v>
      </c>
      <c r="AI21" s="237"/>
      <c r="AJ21" s="18" t="s">
        <v>19</v>
      </c>
      <c r="AK21" s="19">
        <f>AK24+AK27+AK30+AK33+AK36+AK39</f>
        <v>0</v>
      </c>
      <c r="AL21" s="19">
        <f t="shared" si="19"/>
        <v>0</v>
      </c>
      <c r="AM21" s="19">
        <f t="shared" si="19"/>
        <v>0</v>
      </c>
      <c r="AN21" s="19">
        <f t="shared" si="19"/>
        <v>0</v>
      </c>
      <c r="AO21" s="19">
        <f t="shared" si="19"/>
        <v>0</v>
      </c>
      <c r="AP21" s="19">
        <f t="shared" si="19"/>
        <v>0</v>
      </c>
      <c r="AQ21" s="19">
        <f t="shared" si="19"/>
        <v>0</v>
      </c>
    </row>
    <row r="22" spans="1:43" ht="15" customHeight="1">
      <c r="A22" s="18" t="s">
        <v>20</v>
      </c>
      <c r="B22" s="236" t="e">
        <f t="shared" ref="B22:H22" si="20">B21/B20*100</f>
        <v>#DIV/0!</v>
      </c>
      <c r="C22" s="236" t="e">
        <f t="shared" si="20"/>
        <v>#DIV/0!</v>
      </c>
      <c r="D22" s="236" t="e">
        <f t="shared" si="20"/>
        <v>#DIV/0!</v>
      </c>
      <c r="E22" s="236" t="e">
        <f t="shared" si="20"/>
        <v>#DIV/0!</v>
      </c>
      <c r="F22" s="236" t="e">
        <f t="shared" si="20"/>
        <v>#DIV/0!</v>
      </c>
      <c r="G22" s="236" t="e">
        <f t="shared" si="20"/>
        <v>#DIV/0!</v>
      </c>
      <c r="H22" s="236" t="e">
        <f t="shared" si="20"/>
        <v>#DIV/0!</v>
      </c>
      <c r="I22" s="246"/>
      <c r="J22" s="18" t="s">
        <v>20</v>
      </c>
      <c r="K22" s="236" t="e">
        <f t="shared" ref="K22:Q22" si="21">K21/K20*100</f>
        <v>#DIV/0!</v>
      </c>
      <c r="L22" s="236" t="e">
        <f t="shared" si="21"/>
        <v>#DIV/0!</v>
      </c>
      <c r="M22" s="236" t="e">
        <f t="shared" si="21"/>
        <v>#DIV/0!</v>
      </c>
      <c r="N22" s="236" t="e">
        <f t="shared" si="21"/>
        <v>#DIV/0!</v>
      </c>
      <c r="O22" s="236" t="e">
        <f t="shared" si="21"/>
        <v>#DIV/0!</v>
      </c>
      <c r="P22" s="236" t="e">
        <f t="shared" si="21"/>
        <v>#DIV/0!</v>
      </c>
      <c r="Q22" s="236" t="e">
        <f t="shared" si="21"/>
        <v>#DIV/0!</v>
      </c>
      <c r="R22" s="18" t="s">
        <v>20</v>
      </c>
      <c r="S22" s="236" t="e">
        <f t="shared" ref="S22:Y22" si="22">S21/S20*100</f>
        <v>#DIV/0!</v>
      </c>
      <c r="T22" s="236" t="e">
        <f t="shared" si="22"/>
        <v>#DIV/0!</v>
      </c>
      <c r="U22" s="236" t="e">
        <f t="shared" si="22"/>
        <v>#DIV/0!</v>
      </c>
      <c r="V22" s="236" t="e">
        <f t="shared" si="22"/>
        <v>#DIV/0!</v>
      </c>
      <c r="W22" s="236" t="e">
        <f t="shared" si="22"/>
        <v>#DIV/0!</v>
      </c>
      <c r="X22" s="236" t="e">
        <f t="shared" si="22"/>
        <v>#DIV/0!</v>
      </c>
      <c r="Y22" s="236" t="e">
        <f t="shared" si="22"/>
        <v>#DIV/0!</v>
      </c>
      <c r="Z22" s="239"/>
      <c r="AA22" s="18" t="s">
        <v>20</v>
      </c>
      <c r="AB22" s="236" t="e">
        <f t="shared" ref="AB22:AH22" si="23">AB21/AB20*100</f>
        <v>#DIV/0!</v>
      </c>
      <c r="AC22" s="236" t="e">
        <f t="shared" si="23"/>
        <v>#DIV/0!</v>
      </c>
      <c r="AD22" s="236" t="e">
        <f t="shared" si="23"/>
        <v>#DIV/0!</v>
      </c>
      <c r="AE22" s="236" t="e">
        <f t="shared" si="23"/>
        <v>#DIV/0!</v>
      </c>
      <c r="AF22" s="236" t="e">
        <f t="shared" si="23"/>
        <v>#DIV/0!</v>
      </c>
      <c r="AG22" s="236" t="e">
        <f t="shared" si="23"/>
        <v>#DIV/0!</v>
      </c>
      <c r="AH22" s="236" t="e">
        <f t="shared" si="23"/>
        <v>#DIV/0!</v>
      </c>
      <c r="AI22" s="239"/>
      <c r="AJ22" s="18" t="s">
        <v>20</v>
      </c>
      <c r="AK22" s="236" t="e">
        <f>AK21/AK20*100</f>
        <v>#DIV/0!</v>
      </c>
      <c r="AL22" s="236" t="e">
        <f>AL21/AL20*100</f>
        <v>#DIV/0!</v>
      </c>
      <c r="AM22" s="236" t="e">
        <f>AM21/AM20*100</f>
        <v>#DIV/0!</v>
      </c>
      <c r="AN22" s="236">
        <v>0</v>
      </c>
      <c r="AO22" s="236" t="e">
        <f>AO21/AO20*100</f>
        <v>#DIV/0!</v>
      </c>
      <c r="AP22" s="236" t="e">
        <f>AP21/AP20*100</f>
        <v>#DIV/0!</v>
      </c>
      <c r="AQ22" s="236" t="e">
        <f>AQ21/AQ20*100</f>
        <v>#DIV/0!</v>
      </c>
    </row>
    <row r="23" spans="1:43" ht="15" customHeight="1">
      <c r="A23" s="19" t="s">
        <v>21</v>
      </c>
      <c r="B23" s="126">
        <f>K23+S23+AK23</f>
        <v>0</v>
      </c>
      <c r="C23" s="19">
        <f>L23+T23+AL23</f>
        <v>0</v>
      </c>
      <c r="D23" s="19">
        <f>E23+F23+G23+H23</f>
        <v>0</v>
      </c>
      <c r="E23" s="19">
        <f t="shared" ref="E23:H24" si="24">N23+V23+AN23</f>
        <v>0</v>
      </c>
      <c r="F23" s="19">
        <f t="shared" si="24"/>
        <v>0</v>
      </c>
      <c r="G23" s="19">
        <f t="shared" si="24"/>
        <v>0</v>
      </c>
      <c r="H23" s="19">
        <f t="shared" si="24"/>
        <v>0</v>
      </c>
      <c r="I23" s="246"/>
      <c r="J23" s="19" t="s">
        <v>21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 t="s">
        <v>21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37"/>
      <c r="AA23" s="19" t="s">
        <v>21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237"/>
      <c r="AJ23" s="19" t="s">
        <v>21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</row>
    <row r="24" spans="1:43" ht="15" customHeight="1">
      <c r="A24" s="19" t="s">
        <v>22</v>
      </c>
      <c r="B24" s="19">
        <f>K24+S24+AK24</f>
        <v>0</v>
      </c>
      <c r="C24" s="19">
        <f>L24+T24+AL24</f>
        <v>0</v>
      </c>
      <c r="D24" s="19">
        <f>E24+F24+G24+H24</f>
        <v>0</v>
      </c>
      <c r="E24" s="19">
        <f t="shared" si="24"/>
        <v>0</v>
      </c>
      <c r="F24" s="19">
        <f t="shared" si="24"/>
        <v>0</v>
      </c>
      <c r="G24" s="19">
        <f t="shared" si="24"/>
        <v>0</v>
      </c>
      <c r="H24" s="19">
        <f t="shared" si="24"/>
        <v>0</v>
      </c>
      <c r="I24" s="246"/>
      <c r="J24" s="19" t="s">
        <v>22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 t="s">
        <v>22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37"/>
      <c r="AA24" s="19" t="s">
        <v>22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237"/>
      <c r="AJ24" s="19" t="s">
        <v>22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</row>
    <row r="25" spans="1:43" ht="15" customHeight="1">
      <c r="A25" s="19" t="s">
        <v>12</v>
      </c>
      <c r="B25" s="236" t="e">
        <f t="shared" ref="B25:H25" si="25">B24/B23*100</f>
        <v>#DIV/0!</v>
      </c>
      <c r="C25" s="236" t="e">
        <f t="shared" si="25"/>
        <v>#DIV/0!</v>
      </c>
      <c r="D25" s="236" t="e">
        <f t="shared" si="25"/>
        <v>#DIV/0!</v>
      </c>
      <c r="E25" s="236" t="e">
        <f t="shared" si="25"/>
        <v>#DIV/0!</v>
      </c>
      <c r="F25" s="236" t="e">
        <f t="shared" si="25"/>
        <v>#DIV/0!</v>
      </c>
      <c r="G25" s="236" t="e">
        <f t="shared" si="25"/>
        <v>#DIV/0!</v>
      </c>
      <c r="H25" s="236" t="e">
        <f t="shared" si="25"/>
        <v>#DIV/0!</v>
      </c>
      <c r="I25" s="246"/>
      <c r="J25" s="19" t="s">
        <v>12</v>
      </c>
      <c r="K25" s="236" t="e">
        <f t="shared" ref="K25:Q25" si="26">K24/K23*100</f>
        <v>#DIV/0!</v>
      </c>
      <c r="L25" s="236" t="e">
        <f t="shared" si="26"/>
        <v>#DIV/0!</v>
      </c>
      <c r="M25" s="236" t="e">
        <f t="shared" si="26"/>
        <v>#DIV/0!</v>
      </c>
      <c r="N25" s="236" t="e">
        <f t="shared" si="26"/>
        <v>#DIV/0!</v>
      </c>
      <c r="O25" s="236" t="e">
        <f t="shared" si="26"/>
        <v>#DIV/0!</v>
      </c>
      <c r="P25" s="236" t="e">
        <f t="shared" si="26"/>
        <v>#DIV/0!</v>
      </c>
      <c r="Q25" s="236" t="e">
        <f t="shared" si="26"/>
        <v>#DIV/0!</v>
      </c>
      <c r="R25" s="19" t="s">
        <v>12</v>
      </c>
      <c r="S25" s="236" t="e">
        <f>S24/S23*100</f>
        <v>#DIV/0!</v>
      </c>
      <c r="T25" s="236" t="e">
        <f t="shared" ref="T25:Y25" si="27">T24/T23*100</f>
        <v>#DIV/0!</v>
      </c>
      <c r="U25" s="236" t="e">
        <f t="shared" si="27"/>
        <v>#DIV/0!</v>
      </c>
      <c r="V25" s="236" t="e">
        <f t="shared" si="27"/>
        <v>#DIV/0!</v>
      </c>
      <c r="W25" s="236" t="e">
        <f t="shared" si="27"/>
        <v>#DIV/0!</v>
      </c>
      <c r="X25" s="236" t="e">
        <f t="shared" si="27"/>
        <v>#DIV/0!</v>
      </c>
      <c r="Y25" s="236" t="e">
        <f t="shared" si="27"/>
        <v>#DIV/0!</v>
      </c>
      <c r="Z25" s="239"/>
      <c r="AA25" s="19" t="s">
        <v>12</v>
      </c>
      <c r="AB25" s="236" t="e">
        <f t="shared" ref="AB25:AH25" si="28">AB24/AB23*100</f>
        <v>#DIV/0!</v>
      </c>
      <c r="AC25" s="236" t="e">
        <f t="shared" si="28"/>
        <v>#DIV/0!</v>
      </c>
      <c r="AD25" s="236" t="e">
        <f t="shared" si="28"/>
        <v>#DIV/0!</v>
      </c>
      <c r="AE25" s="236" t="e">
        <f t="shared" si="28"/>
        <v>#DIV/0!</v>
      </c>
      <c r="AF25" s="236" t="e">
        <f t="shared" si="28"/>
        <v>#DIV/0!</v>
      </c>
      <c r="AG25" s="236" t="e">
        <f t="shared" si="28"/>
        <v>#DIV/0!</v>
      </c>
      <c r="AH25" s="236" t="e">
        <f t="shared" si="28"/>
        <v>#DIV/0!</v>
      </c>
      <c r="AI25" s="239"/>
      <c r="AJ25" s="19" t="s">
        <v>12</v>
      </c>
      <c r="AK25" s="236" t="e">
        <f>AK24/AK23*100</f>
        <v>#DIV/0!</v>
      </c>
      <c r="AL25" s="236" t="e">
        <f>AL24/AL23*100</f>
        <v>#DIV/0!</v>
      </c>
      <c r="AM25" s="236" t="e">
        <f>AM24/AM23*100</f>
        <v>#DIV/0!</v>
      </c>
      <c r="AN25" s="236">
        <v>0</v>
      </c>
      <c r="AO25" s="236" t="e">
        <f>AO24/AO23*100</f>
        <v>#DIV/0!</v>
      </c>
      <c r="AP25" s="236" t="e">
        <f>AP24/AP23*100</f>
        <v>#DIV/0!</v>
      </c>
      <c r="AQ25" s="236" t="e">
        <f>AQ24/AQ23*100</f>
        <v>#DIV/0!</v>
      </c>
    </row>
    <row r="26" spans="1:43" ht="15" customHeight="1">
      <c r="A26" s="19" t="s">
        <v>23</v>
      </c>
      <c r="B26" s="19">
        <f>K26+S26+AK26</f>
        <v>0</v>
      </c>
      <c r="C26" s="19">
        <f>L26+T26+AL26</f>
        <v>0</v>
      </c>
      <c r="D26" s="19">
        <f>E26+F26+G26+H26</f>
        <v>0</v>
      </c>
      <c r="E26" s="19">
        <f t="shared" ref="E26:H27" si="29">N26+V26+AN26</f>
        <v>0</v>
      </c>
      <c r="F26" s="19">
        <f t="shared" si="29"/>
        <v>0</v>
      </c>
      <c r="G26" s="19">
        <f t="shared" si="29"/>
        <v>0</v>
      </c>
      <c r="H26" s="19">
        <f t="shared" si="29"/>
        <v>0</v>
      </c>
      <c r="I26" s="246"/>
      <c r="J26" s="19" t="s">
        <v>23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23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37"/>
      <c r="AA26" s="19" t="s">
        <v>23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237"/>
      <c r="AJ26" s="19" t="s">
        <v>23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</row>
    <row r="27" spans="1:43" ht="15" customHeight="1">
      <c r="A27" s="19" t="s">
        <v>24</v>
      </c>
      <c r="B27" s="19">
        <f>K27+S27+AK27</f>
        <v>0</v>
      </c>
      <c r="C27" s="19">
        <f>L27+T27+AL27</f>
        <v>0</v>
      </c>
      <c r="D27" s="19">
        <f>E27+F27+G27+H27</f>
        <v>0</v>
      </c>
      <c r="E27" s="19">
        <f t="shared" si="29"/>
        <v>0</v>
      </c>
      <c r="F27" s="19">
        <f t="shared" si="29"/>
        <v>0</v>
      </c>
      <c r="G27" s="19">
        <f t="shared" si="29"/>
        <v>0</v>
      </c>
      <c r="H27" s="19">
        <f t="shared" si="29"/>
        <v>0</v>
      </c>
      <c r="I27" s="246"/>
      <c r="J27" s="19" t="s">
        <v>24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24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37"/>
      <c r="AA27" s="19" t="s">
        <v>24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237"/>
      <c r="AJ27" s="19" t="s">
        <v>24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</row>
    <row r="28" spans="1:43" ht="15" customHeight="1">
      <c r="A28" s="19" t="s">
        <v>12</v>
      </c>
      <c r="B28" s="236" t="e">
        <f t="shared" ref="B28:H28" si="30">B27/B26*100</f>
        <v>#DIV/0!</v>
      </c>
      <c r="C28" s="236" t="e">
        <f t="shared" si="30"/>
        <v>#DIV/0!</v>
      </c>
      <c r="D28" s="236" t="e">
        <f t="shared" si="30"/>
        <v>#DIV/0!</v>
      </c>
      <c r="E28" s="236" t="e">
        <f t="shared" si="30"/>
        <v>#DIV/0!</v>
      </c>
      <c r="F28" s="236" t="e">
        <f t="shared" si="30"/>
        <v>#DIV/0!</v>
      </c>
      <c r="G28" s="236" t="e">
        <f t="shared" si="30"/>
        <v>#DIV/0!</v>
      </c>
      <c r="H28" s="236" t="e">
        <f t="shared" si="30"/>
        <v>#DIV/0!</v>
      </c>
      <c r="I28" s="246"/>
      <c r="J28" s="19" t="s">
        <v>12</v>
      </c>
      <c r="K28" s="236" t="e">
        <f t="shared" ref="K28:Q28" si="31">K27/K26*100</f>
        <v>#DIV/0!</v>
      </c>
      <c r="L28" s="236" t="e">
        <f t="shared" si="31"/>
        <v>#DIV/0!</v>
      </c>
      <c r="M28" s="236" t="e">
        <f t="shared" si="31"/>
        <v>#DIV/0!</v>
      </c>
      <c r="N28" s="236" t="e">
        <f t="shared" si="31"/>
        <v>#DIV/0!</v>
      </c>
      <c r="O28" s="236" t="e">
        <f t="shared" si="31"/>
        <v>#DIV/0!</v>
      </c>
      <c r="P28" s="236" t="e">
        <f t="shared" si="31"/>
        <v>#DIV/0!</v>
      </c>
      <c r="Q28" s="236" t="e">
        <f t="shared" si="31"/>
        <v>#DIV/0!</v>
      </c>
      <c r="R28" s="19" t="s">
        <v>12</v>
      </c>
      <c r="S28" s="236" t="e">
        <f t="shared" ref="S28:X28" si="32">S27/S26*100</f>
        <v>#DIV/0!</v>
      </c>
      <c r="T28" s="236">
        <v>150</v>
      </c>
      <c r="U28" s="236" t="e">
        <f t="shared" si="32"/>
        <v>#DIV/0!</v>
      </c>
      <c r="V28" s="236">
        <v>932</v>
      </c>
      <c r="W28" s="236">
        <v>19</v>
      </c>
      <c r="X28" s="236" t="e">
        <f t="shared" si="32"/>
        <v>#DIV/0!</v>
      </c>
      <c r="Y28" s="236">
        <v>122</v>
      </c>
      <c r="Z28" s="239"/>
      <c r="AA28" s="19" t="s">
        <v>12</v>
      </c>
      <c r="AB28" s="236" t="e">
        <f t="shared" ref="AB28:AH28" si="33">AB27/AB26*100</f>
        <v>#DIV/0!</v>
      </c>
      <c r="AC28" s="236" t="e">
        <f t="shared" si="33"/>
        <v>#DIV/0!</v>
      </c>
      <c r="AD28" s="236" t="e">
        <f t="shared" si="33"/>
        <v>#DIV/0!</v>
      </c>
      <c r="AE28" s="236" t="e">
        <f t="shared" si="33"/>
        <v>#DIV/0!</v>
      </c>
      <c r="AF28" s="236" t="e">
        <f t="shared" si="33"/>
        <v>#DIV/0!</v>
      </c>
      <c r="AG28" s="236" t="e">
        <f t="shared" si="33"/>
        <v>#DIV/0!</v>
      </c>
      <c r="AH28" s="236" t="e">
        <f t="shared" si="33"/>
        <v>#DIV/0!</v>
      </c>
      <c r="AI28" s="239"/>
      <c r="AJ28" s="19" t="s">
        <v>12</v>
      </c>
      <c r="AK28" s="236" t="e">
        <f>AK27/AK26*100</f>
        <v>#DIV/0!</v>
      </c>
      <c r="AL28" s="236" t="e">
        <f>AL27/AL26*100</f>
        <v>#DIV/0!</v>
      </c>
      <c r="AM28" s="236" t="e">
        <f>AM27/AM26*100</f>
        <v>#DIV/0!</v>
      </c>
      <c r="AN28" s="236">
        <v>0</v>
      </c>
      <c r="AO28" s="236" t="e">
        <f>AO27/AO26*100</f>
        <v>#DIV/0!</v>
      </c>
      <c r="AP28" s="236" t="e">
        <f>AP27/AP26*100</f>
        <v>#DIV/0!</v>
      </c>
      <c r="AQ28" s="236" t="e">
        <f>AQ27/AQ26*100</f>
        <v>#DIV/0!</v>
      </c>
    </row>
    <row r="29" spans="1:43" ht="15" customHeight="1">
      <c r="A29" s="19" t="s">
        <v>25</v>
      </c>
      <c r="B29" s="19">
        <f>K29+S29+AK29</f>
        <v>0</v>
      </c>
      <c r="C29" s="19">
        <f>L29+T29+AL29</f>
        <v>0</v>
      </c>
      <c r="D29" s="19">
        <f>E29+F29+G29+H29</f>
        <v>0</v>
      </c>
      <c r="E29" s="19">
        <f t="shared" ref="E29:H30" si="34">N29+V29+AN29</f>
        <v>0</v>
      </c>
      <c r="F29" s="19">
        <f t="shared" si="34"/>
        <v>0</v>
      </c>
      <c r="G29" s="19">
        <f t="shared" si="34"/>
        <v>0</v>
      </c>
      <c r="H29" s="19">
        <f t="shared" si="34"/>
        <v>0</v>
      </c>
      <c r="I29" s="246"/>
      <c r="J29" s="19" t="s">
        <v>25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 t="s">
        <v>25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37"/>
      <c r="AA29" s="19" t="s">
        <v>25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237"/>
      <c r="AJ29" s="19" t="s">
        <v>25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</row>
    <row r="30" spans="1:43" ht="15" customHeight="1">
      <c r="A30" s="19" t="s">
        <v>26</v>
      </c>
      <c r="B30" s="19">
        <f>K30+S30+AK30</f>
        <v>0</v>
      </c>
      <c r="C30" s="19">
        <f>L30+T30+AL30</f>
        <v>0</v>
      </c>
      <c r="D30" s="19">
        <f>E30+F30+G30+H30</f>
        <v>0</v>
      </c>
      <c r="E30" s="19">
        <f t="shared" si="34"/>
        <v>0</v>
      </c>
      <c r="F30" s="19">
        <f t="shared" si="34"/>
        <v>0</v>
      </c>
      <c r="G30" s="19">
        <f t="shared" si="34"/>
        <v>0</v>
      </c>
      <c r="H30" s="19">
        <f t="shared" si="34"/>
        <v>0</v>
      </c>
      <c r="I30" s="246"/>
      <c r="J30" s="19" t="s">
        <v>26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26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37"/>
      <c r="AA30" s="19" t="s">
        <v>26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237"/>
      <c r="AJ30" s="19" t="s">
        <v>26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</row>
    <row r="31" spans="1:43" ht="15" customHeight="1">
      <c r="A31" s="19" t="s">
        <v>12</v>
      </c>
      <c r="B31" s="236" t="e">
        <f t="shared" ref="B31:H31" si="35">B30/B29*100</f>
        <v>#DIV/0!</v>
      </c>
      <c r="C31" s="236" t="e">
        <f t="shared" si="35"/>
        <v>#DIV/0!</v>
      </c>
      <c r="D31" s="236" t="e">
        <f t="shared" si="35"/>
        <v>#DIV/0!</v>
      </c>
      <c r="E31" s="236" t="e">
        <f t="shared" si="35"/>
        <v>#DIV/0!</v>
      </c>
      <c r="F31" s="236" t="e">
        <f t="shared" si="35"/>
        <v>#DIV/0!</v>
      </c>
      <c r="G31" s="236" t="e">
        <f t="shared" si="35"/>
        <v>#DIV/0!</v>
      </c>
      <c r="H31" s="236" t="e">
        <f t="shared" si="35"/>
        <v>#DIV/0!</v>
      </c>
      <c r="I31" s="246"/>
      <c r="J31" s="19" t="s">
        <v>12</v>
      </c>
      <c r="K31" s="236" t="e">
        <f t="shared" ref="K31:Q31" si="36">K30/K29*100</f>
        <v>#DIV/0!</v>
      </c>
      <c r="L31" s="236" t="e">
        <f t="shared" si="36"/>
        <v>#DIV/0!</v>
      </c>
      <c r="M31" s="236" t="e">
        <f t="shared" si="36"/>
        <v>#DIV/0!</v>
      </c>
      <c r="N31" s="236" t="e">
        <f t="shared" si="36"/>
        <v>#DIV/0!</v>
      </c>
      <c r="O31" s="236" t="e">
        <f t="shared" si="36"/>
        <v>#DIV/0!</v>
      </c>
      <c r="P31" s="236" t="e">
        <f t="shared" si="36"/>
        <v>#DIV/0!</v>
      </c>
      <c r="Q31" s="236" t="e">
        <f t="shared" si="36"/>
        <v>#DIV/0!</v>
      </c>
      <c r="R31" s="19" t="s">
        <v>12</v>
      </c>
      <c r="S31" s="236" t="e">
        <f t="shared" ref="S31:Y31" si="37">S30/S29*100</f>
        <v>#DIV/0!</v>
      </c>
      <c r="T31" s="236" t="e">
        <f t="shared" si="37"/>
        <v>#DIV/0!</v>
      </c>
      <c r="U31" s="236" t="e">
        <f t="shared" si="37"/>
        <v>#DIV/0!</v>
      </c>
      <c r="V31" s="236" t="e">
        <f t="shared" si="37"/>
        <v>#DIV/0!</v>
      </c>
      <c r="W31" s="236" t="e">
        <f t="shared" si="37"/>
        <v>#DIV/0!</v>
      </c>
      <c r="X31" s="236" t="e">
        <f t="shared" si="37"/>
        <v>#DIV/0!</v>
      </c>
      <c r="Y31" s="236" t="e">
        <f t="shared" si="37"/>
        <v>#DIV/0!</v>
      </c>
      <c r="Z31" s="239"/>
      <c r="AA31" s="19" t="s">
        <v>12</v>
      </c>
      <c r="AB31" s="236" t="e">
        <f t="shared" ref="AB31:AH31" si="38">AB30/AB29*100</f>
        <v>#DIV/0!</v>
      </c>
      <c r="AC31" s="236" t="e">
        <f t="shared" si="38"/>
        <v>#DIV/0!</v>
      </c>
      <c r="AD31" s="236" t="e">
        <f t="shared" si="38"/>
        <v>#DIV/0!</v>
      </c>
      <c r="AE31" s="236" t="e">
        <f t="shared" si="38"/>
        <v>#DIV/0!</v>
      </c>
      <c r="AF31" s="236" t="e">
        <f t="shared" si="38"/>
        <v>#DIV/0!</v>
      </c>
      <c r="AG31" s="236" t="e">
        <f t="shared" si="38"/>
        <v>#DIV/0!</v>
      </c>
      <c r="AH31" s="236" t="e">
        <f t="shared" si="38"/>
        <v>#DIV/0!</v>
      </c>
      <c r="AI31" s="239"/>
      <c r="AJ31" s="19" t="s">
        <v>12</v>
      </c>
      <c r="AK31" s="236" t="e">
        <f>AK30/AK29*100</f>
        <v>#DIV/0!</v>
      </c>
      <c r="AL31" s="236" t="e">
        <f>AL30/AL29*100</f>
        <v>#DIV/0!</v>
      </c>
      <c r="AM31" s="236" t="e">
        <f>AM30/AM29*100</f>
        <v>#DIV/0!</v>
      </c>
      <c r="AN31" s="236">
        <v>0</v>
      </c>
      <c r="AO31" s="236" t="e">
        <f>AO30/AO29*100</f>
        <v>#DIV/0!</v>
      </c>
      <c r="AP31" s="236" t="e">
        <f>AP30/AP29*100</f>
        <v>#DIV/0!</v>
      </c>
      <c r="AQ31" s="236" t="e">
        <f>AQ30/AQ29*100</f>
        <v>#DIV/0!</v>
      </c>
    </row>
    <row r="32" spans="1:43" ht="15" customHeight="1">
      <c r="A32" s="19" t="s">
        <v>27</v>
      </c>
      <c r="B32" s="19">
        <f>K32+S32+AK32</f>
        <v>0</v>
      </c>
      <c r="C32" s="19">
        <f>L32+T32+AL32</f>
        <v>0</v>
      </c>
      <c r="D32" s="19">
        <f>E32+F32+G32+H32</f>
        <v>0</v>
      </c>
      <c r="E32" s="19">
        <f t="shared" ref="E32:H33" si="39">N32+V32+AN32</f>
        <v>0</v>
      </c>
      <c r="F32" s="19">
        <f t="shared" si="39"/>
        <v>0</v>
      </c>
      <c r="G32" s="19">
        <f t="shared" si="39"/>
        <v>0</v>
      </c>
      <c r="H32" s="19">
        <f t="shared" si="39"/>
        <v>0</v>
      </c>
      <c r="I32" s="246"/>
      <c r="J32" s="19" t="s">
        <v>27</v>
      </c>
      <c r="K32" s="19">
        <v>0</v>
      </c>
      <c r="L32" s="19">
        <v>0</v>
      </c>
      <c r="M32" s="19">
        <f>N32+O32+P32+Q32</f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27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237"/>
      <c r="AA32" s="19" t="s">
        <v>27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237"/>
      <c r="AJ32" s="19" t="s">
        <v>27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</row>
    <row r="33" spans="1:43" ht="15" customHeight="1">
      <c r="A33" s="19" t="s">
        <v>28</v>
      </c>
      <c r="B33" s="19">
        <f>K33+S33+AK33</f>
        <v>0</v>
      </c>
      <c r="C33" s="19">
        <f>L33+T33+AL33</f>
        <v>0</v>
      </c>
      <c r="D33" s="19">
        <f>E33+F33+G33+H33</f>
        <v>0</v>
      </c>
      <c r="E33" s="19">
        <f t="shared" si="39"/>
        <v>0</v>
      </c>
      <c r="F33" s="19">
        <f t="shared" si="39"/>
        <v>0</v>
      </c>
      <c r="G33" s="19">
        <f t="shared" si="39"/>
        <v>0</v>
      </c>
      <c r="H33" s="19">
        <f t="shared" si="39"/>
        <v>0</v>
      </c>
      <c r="I33" s="246"/>
      <c r="J33" s="19" t="s">
        <v>28</v>
      </c>
      <c r="K33" s="19"/>
      <c r="L33" s="19"/>
      <c r="M33" s="19">
        <f>N33+O33+P33+Q33</f>
        <v>0</v>
      </c>
      <c r="N33" s="19"/>
      <c r="O33" s="19"/>
      <c r="P33" s="19"/>
      <c r="Q33" s="19"/>
      <c r="R33" s="19" t="s">
        <v>28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237"/>
      <c r="AA33" s="19" t="s">
        <v>28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237"/>
      <c r="AJ33" s="19" t="s">
        <v>28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</row>
    <row r="34" spans="1:43" ht="15" customHeight="1">
      <c r="A34" s="19" t="s">
        <v>12</v>
      </c>
      <c r="B34" s="236" t="e">
        <f t="shared" ref="B34:H34" si="40">B33/B32*100</f>
        <v>#DIV/0!</v>
      </c>
      <c r="C34" s="236" t="e">
        <f t="shared" si="40"/>
        <v>#DIV/0!</v>
      </c>
      <c r="D34" s="236" t="e">
        <f t="shared" si="40"/>
        <v>#DIV/0!</v>
      </c>
      <c r="E34" s="236" t="e">
        <f t="shared" si="40"/>
        <v>#DIV/0!</v>
      </c>
      <c r="F34" s="236" t="e">
        <f t="shared" si="40"/>
        <v>#DIV/0!</v>
      </c>
      <c r="G34" s="236" t="e">
        <f t="shared" si="40"/>
        <v>#DIV/0!</v>
      </c>
      <c r="H34" s="236" t="e">
        <f t="shared" si="40"/>
        <v>#DIV/0!</v>
      </c>
      <c r="I34" s="246"/>
      <c r="J34" s="19" t="s">
        <v>12</v>
      </c>
      <c r="K34" s="236">
        <v>0</v>
      </c>
      <c r="L34" s="236">
        <v>0</v>
      </c>
      <c r="M34" s="236">
        <v>0</v>
      </c>
      <c r="N34" s="236">
        <v>0</v>
      </c>
      <c r="O34" s="236">
        <v>0</v>
      </c>
      <c r="P34" s="236">
        <v>0</v>
      </c>
      <c r="Q34" s="236">
        <v>0</v>
      </c>
      <c r="R34" s="19" t="s">
        <v>12</v>
      </c>
      <c r="S34" s="236" t="e">
        <f t="shared" ref="S34:Y34" si="41">S33/S32*100</f>
        <v>#DIV/0!</v>
      </c>
      <c r="T34" s="236" t="e">
        <f t="shared" si="41"/>
        <v>#DIV/0!</v>
      </c>
      <c r="U34" s="236" t="e">
        <f t="shared" si="41"/>
        <v>#DIV/0!</v>
      </c>
      <c r="V34" s="236" t="e">
        <f t="shared" si="41"/>
        <v>#DIV/0!</v>
      </c>
      <c r="W34" s="236" t="e">
        <f t="shared" si="41"/>
        <v>#DIV/0!</v>
      </c>
      <c r="X34" s="236" t="e">
        <f t="shared" si="41"/>
        <v>#DIV/0!</v>
      </c>
      <c r="Y34" s="236" t="e">
        <f t="shared" si="41"/>
        <v>#DIV/0!</v>
      </c>
      <c r="Z34" s="239"/>
      <c r="AA34" s="19" t="s">
        <v>12</v>
      </c>
      <c r="AB34" s="236" t="e">
        <f t="shared" ref="AB34:AH34" si="42">AB33/AB32*100</f>
        <v>#DIV/0!</v>
      </c>
      <c r="AC34" s="236" t="e">
        <f t="shared" si="42"/>
        <v>#DIV/0!</v>
      </c>
      <c r="AD34" s="236" t="e">
        <f t="shared" si="42"/>
        <v>#DIV/0!</v>
      </c>
      <c r="AE34" s="236" t="e">
        <f t="shared" si="42"/>
        <v>#DIV/0!</v>
      </c>
      <c r="AF34" s="236" t="e">
        <f t="shared" si="42"/>
        <v>#DIV/0!</v>
      </c>
      <c r="AG34" s="236" t="e">
        <f t="shared" si="42"/>
        <v>#DIV/0!</v>
      </c>
      <c r="AH34" s="236" t="e">
        <f t="shared" si="42"/>
        <v>#DIV/0!</v>
      </c>
      <c r="AI34" s="239"/>
      <c r="AJ34" s="19" t="s">
        <v>12</v>
      </c>
      <c r="AK34" s="236">
        <v>0</v>
      </c>
      <c r="AL34" s="236">
        <v>0</v>
      </c>
      <c r="AM34" s="236">
        <v>0</v>
      </c>
      <c r="AN34" s="236">
        <v>0</v>
      </c>
      <c r="AO34" s="236">
        <v>0</v>
      </c>
      <c r="AP34" s="236">
        <v>0</v>
      </c>
      <c r="AQ34" s="236">
        <v>0</v>
      </c>
    </row>
    <row r="35" spans="1:43" ht="15" customHeight="1">
      <c r="A35" s="19" t="s">
        <v>29</v>
      </c>
      <c r="B35" s="19">
        <f>K35+S35+AK35</f>
        <v>0</v>
      </c>
      <c r="C35" s="19">
        <f>L35+T35+AL35</f>
        <v>0</v>
      </c>
      <c r="D35" s="19">
        <f>E35+F35+G35+H35</f>
        <v>0</v>
      </c>
      <c r="E35" s="19">
        <f t="shared" ref="E35:H36" si="43">N35+V35+AN35</f>
        <v>0</v>
      </c>
      <c r="F35" s="19">
        <f t="shared" si="43"/>
        <v>0</v>
      </c>
      <c r="G35" s="19">
        <f t="shared" si="43"/>
        <v>0</v>
      </c>
      <c r="H35" s="19">
        <f t="shared" si="43"/>
        <v>0</v>
      </c>
      <c r="I35" s="246"/>
      <c r="J35" s="19" t="s">
        <v>29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29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237"/>
      <c r="AA35" s="19" t="s">
        <v>29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237"/>
      <c r="AJ35" s="19" t="s">
        <v>29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</row>
    <row r="36" spans="1:43" ht="15" customHeight="1">
      <c r="A36" s="19" t="s">
        <v>30</v>
      </c>
      <c r="B36" s="19">
        <f>K36+S36+AK36</f>
        <v>0</v>
      </c>
      <c r="C36" s="19">
        <f>L36+T36+AL36</f>
        <v>0</v>
      </c>
      <c r="D36" s="19">
        <f>E36+F36+G36+H36</f>
        <v>0</v>
      </c>
      <c r="E36" s="19">
        <f t="shared" si="43"/>
        <v>0</v>
      </c>
      <c r="F36" s="19">
        <f t="shared" si="43"/>
        <v>0</v>
      </c>
      <c r="G36" s="19">
        <f t="shared" si="43"/>
        <v>0</v>
      </c>
      <c r="H36" s="19">
        <f t="shared" si="43"/>
        <v>0</v>
      </c>
      <c r="I36" s="246"/>
      <c r="J36" s="19" t="s">
        <v>30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30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237"/>
      <c r="AA36" s="19" t="s">
        <v>30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237"/>
      <c r="AJ36" s="19" t="s">
        <v>30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</row>
    <row r="37" spans="1:43" ht="15" customHeight="1">
      <c r="A37" s="19" t="s">
        <v>12</v>
      </c>
      <c r="B37" s="236" t="e">
        <f t="shared" ref="B37:H37" si="44">B36/B35*100</f>
        <v>#DIV/0!</v>
      </c>
      <c r="C37" s="236" t="e">
        <f t="shared" si="44"/>
        <v>#DIV/0!</v>
      </c>
      <c r="D37" s="236" t="e">
        <f t="shared" si="44"/>
        <v>#DIV/0!</v>
      </c>
      <c r="E37" s="236" t="e">
        <f t="shared" si="44"/>
        <v>#DIV/0!</v>
      </c>
      <c r="F37" s="236" t="e">
        <f t="shared" si="44"/>
        <v>#DIV/0!</v>
      </c>
      <c r="G37" s="236" t="e">
        <f t="shared" si="44"/>
        <v>#DIV/0!</v>
      </c>
      <c r="H37" s="236" t="e">
        <f t="shared" si="44"/>
        <v>#DIV/0!</v>
      </c>
      <c r="I37" s="246"/>
      <c r="J37" s="19" t="s">
        <v>12</v>
      </c>
      <c r="K37" s="236">
        <v>0</v>
      </c>
      <c r="L37" s="236">
        <v>0</v>
      </c>
      <c r="M37" s="236">
        <v>0</v>
      </c>
      <c r="N37" s="236">
        <v>0</v>
      </c>
      <c r="O37" s="236">
        <v>0</v>
      </c>
      <c r="P37" s="236">
        <v>0</v>
      </c>
      <c r="Q37" s="236">
        <v>0</v>
      </c>
      <c r="R37" s="19" t="s">
        <v>12</v>
      </c>
      <c r="S37" s="236" t="e">
        <f t="shared" ref="S37:Y37" si="45">S36/S35*100</f>
        <v>#DIV/0!</v>
      </c>
      <c r="T37" s="236" t="e">
        <f t="shared" si="45"/>
        <v>#DIV/0!</v>
      </c>
      <c r="U37" s="236" t="e">
        <f t="shared" si="45"/>
        <v>#DIV/0!</v>
      </c>
      <c r="V37" s="236" t="e">
        <f t="shared" si="45"/>
        <v>#DIV/0!</v>
      </c>
      <c r="W37" s="236" t="e">
        <f t="shared" si="45"/>
        <v>#DIV/0!</v>
      </c>
      <c r="X37" s="236" t="e">
        <f t="shared" si="45"/>
        <v>#DIV/0!</v>
      </c>
      <c r="Y37" s="236" t="e">
        <f t="shared" si="45"/>
        <v>#DIV/0!</v>
      </c>
      <c r="Z37" s="239"/>
      <c r="AA37" s="19" t="s">
        <v>12</v>
      </c>
      <c r="AB37" s="236" t="e">
        <f t="shared" ref="AB37:AH37" si="46">AB36/AB35*100</f>
        <v>#DIV/0!</v>
      </c>
      <c r="AC37" s="236" t="e">
        <f t="shared" si="46"/>
        <v>#DIV/0!</v>
      </c>
      <c r="AD37" s="236" t="e">
        <f t="shared" si="46"/>
        <v>#DIV/0!</v>
      </c>
      <c r="AE37" s="236" t="e">
        <f t="shared" si="46"/>
        <v>#DIV/0!</v>
      </c>
      <c r="AF37" s="236" t="e">
        <f t="shared" si="46"/>
        <v>#DIV/0!</v>
      </c>
      <c r="AG37" s="236" t="e">
        <f t="shared" si="46"/>
        <v>#DIV/0!</v>
      </c>
      <c r="AH37" s="236" t="e">
        <f t="shared" si="46"/>
        <v>#DIV/0!</v>
      </c>
      <c r="AI37" s="239"/>
      <c r="AJ37" s="19" t="s">
        <v>12</v>
      </c>
      <c r="AK37" s="236">
        <v>0</v>
      </c>
      <c r="AL37" s="236">
        <v>0</v>
      </c>
      <c r="AM37" s="236">
        <v>0</v>
      </c>
      <c r="AN37" s="236">
        <v>0</v>
      </c>
      <c r="AO37" s="236">
        <v>0</v>
      </c>
      <c r="AP37" s="236">
        <v>0</v>
      </c>
      <c r="AQ37" s="236">
        <v>0</v>
      </c>
    </row>
    <row r="38" spans="1:43" ht="15" customHeight="1">
      <c r="A38" s="19" t="s">
        <v>31</v>
      </c>
      <c r="B38" s="19">
        <f>K38+S38+AK38</f>
        <v>0</v>
      </c>
      <c r="C38" s="19">
        <f>L38+T38+AL38</f>
        <v>0</v>
      </c>
      <c r="D38" s="19">
        <f>E38+F38+G38+H38</f>
        <v>0</v>
      </c>
      <c r="E38" s="19">
        <f t="shared" ref="E38:H39" si="47">N38+V38+AN38</f>
        <v>0</v>
      </c>
      <c r="F38" s="19">
        <f t="shared" si="47"/>
        <v>0</v>
      </c>
      <c r="G38" s="19">
        <f t="shared" si="47"/>
        <v>0</v>
      </c>
      <c r="H38" s="19">
        <f t="shared" si="47"/>
        <v>0</v>
      </c>
      <c r="I38" s="246"/>
      <c r="J38" s="19" t="s">
        <v>31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 t="s">
        <v>31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237"/>
      <c r="AA38" s="19" t="s">
        <v>31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237"/>
      <c r="AJ38" s="19" t="s">
        <v>31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</row>
    <row r="39" spans="1:43" ht="15" customHeight="1">
      <c r="A39" s="19" t="s">
        <v>32</v>
      </c>
      <c r="B39" s="126">
        <f>K39+S39+AK39</f>
        <v>0</v>
      </c>
      <c r="C39" s="19">
        <f>L39+T39+AL39</f>
        <v>0</v>
      </c>
      <c r="D39" s="19">
        <f>E39+F39+G39+H39</f>
        <v>0</v>
      </c>
      <c r="E39" s="19">
        <f t="shared" si="47"/>
        <v>0</v>
      </c>
      <c r="F39" s="19">
        <f t="shared" si="47"/>
        <v>0</v>
      </c>
      <c r="G39" s="19">
        <f t="shared" si="47"/>
        <v>0</v>
      </c>
      <c r="H39" s="19">
        <f t="shared" si="47"/>
        <v>0</v>
      </c>
      <c r="I39" s="246"/>
      <c r="J39" s="19" t="s">
        <v>32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 t="s">
        <v>32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237"/>
      <c r="AA39" s="19" t="s">
        <v>32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237"/>
      <c r="AJ39" s="19" t="s">
        <v>32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</row>
    <row r="40" spans="1:43" ht="15" customHeight="1">
      <c r="A40" s="6" t="s">
        <v>12</v>
      </c>
      <c r="B40" s="26" t="e">
        <f t="shared" ref="B40:H40" si="48">B39/B38*100</f>
        <v>#DIV/0!</v>
      </c>
      <c r="C40" s="26" t="e">
        <f t="shared" si="48"/>
        <v>#DIV/0!</v>
      </c>
      <c r="D40" s="26" t="e">
        <f t="shared" si="48"/>
        <v>#DIV/0!</v>
      </c>
      <c r="E40" s="26" t="e">
        <f t="shared" si="48"/>
        <v>#DIV/0!</v>
      </c>
      <c r="F40" s="26" t="e">
        <f t="shared" si="48"/>
        <v>#DIV/0!</v>
      </c>
      <c r="G40" s="26" t="e">
        <f t="shared" si="48"/>
        <v>#DIV/0!</v>
      </c>
      <c r="H40" s="26" t="e">
        <f t="shared" si="48"/>
        <v>#DIV/0!</v>
      </c>
      <c r="I40" s="247"/>
      <c r="J40" s="6" t="s">
        <v>12</v>
      </c>
      <c r="K40" s="26" t="e">
        <f t="shared" ref="K40:Q40" si="49">K39/K38*100</f>
        <v>#DIV/0!</v>
      </c>
      <c r="L40" s="26" t="e">
        <f t="shared" si="49"/>
        <v>#DIV/0!</v>
      </c>
      <c r="M40" s="26" t="e">
        <f t="shared" si="49"/>
        <v>#DIV/0!</v>
      </c>
      <c r="N40" s="26" t="e">
        <f t="shared" si="49"/>
        <v>#DIV/0!</v>
      </c>
      <c r="O40" s="26" t="e">
        <f t="shared" si="49"/>
        <v>#DIV/0!</v>
      </c>
      <c r="P40" s="26" t="e">
        <f t="shared" si="49"/>
        <v>#DIV/0!</v>
      </c>
      <c r="Q40" s="26" t="e">
        <f t="shared" si="49"/>
        <v>#DIV/0!</v>
      </c>
      <c r="R40" s="6" t="s">
        <v>12</v>
      </c>
      <c r="S40" s="26" t="e">
        <f t="shared" ref="S40:Y40" si="50">S39/S38*100</f>
        <v>#DIV/0!</v>
      </c>
      <c r="T40" s="26" t="e">
        <f t="shared" si="50"/>
        <v>#DIV/0!</v>
      </c>
      <c r="U40" s="26" t="e">
        <f t="shared" si="50"/>
        <v>#DIV/0!</v>
      </c>
      <c r="V40" s="26" t="e">
        <f t="shared" si="50"/>
        <v>#DIV/0!</v>
      </c>
      <c r="W40" s="26" t="e">
        <f t="shared" si="50"/>
        <v>#DIV/0!</v>
      </c>
      <c r="X40" s="26" t="e">
        <f t="shared" si="50"/>
        <v>#DIV/0!</v>
      </c>
      <c r="Y40" s="26" t="e">
        <f t="shared" si="50"/>
        <v>#DIV/0!</v>
      </c>
      <c r="Z40" s="113"/>
      <c r="AA40" s="6" t="s">
        <v>12</v>
      </c>
      <c r="AB40" s="26" t="e">
        <f t="shared" ref="AB40:AH40" si="51">AB39/AB38*100</f>
        <v>#DIV/0!</v>
      </c>
      <c r="AC40" s="26" t="e">
        <f t="shared" si="51"/>
        <v>#DIV/0!</v>
      </c>
      <c r="AD40" s="26" t="e">
        <f t="shared" si="51"/>
        <v>#DIV/0!</v>
      </c>
      <c r="AE40" s="26" t="e">
        <f t="shared" si="51"/>
        <v>#DIV/0!</v>
      </c>
      <c r="AF40" s="26" t="e">
        <f t="shared" si="51"/>
        <v>#DIV/0!</v>
      </c>
      <c r="AG40" s="26" t="e">
        <f t="shared" si="51"/>
        <v>#DIV/0!</v>
      </c>
      <c r="AH40" s="26" t="e">
        <f t="shared" si="51"/>
        <v>#DIV/0!</v>
      </c>
      <c r="AI40" s="113"/>
      <c r="AJ40" s="6" t="s">
        <v>12</v>
      </c>
      <c r="AK40" s="26" t="e">
        <f>AK39/AK38*100</f>
        <v>#DIV/0!</v>
      </c>
      <c r="AL40" s="26" t="e">
        <f>AL39/AL38*100</f>
        <v>#DIV/0!</v>
      </c>
      <c r="AM40" s="26" t="e">
        <f>AM39/AM38*100</f>
        <v>#DIV/0!</v>
      </c>
      <c r="AN40" s="26">
        <v>0</v>
      </c>
      <c r="AO40" s="26" t="e">
        <f>AO39/AO38*100</f>
        <v>#DIV/0!</v>
      </c>
      <c r="AP40" s="26" t="e">
        <f>AP39/AP38*100</f>
        <v>#DIV/0!</v>
      </c>
      <c r="AQ40" s="26" t="e">
        <f>AQ39/AQ38*100</f>
        <v>#DIV/0!</v>
      </c>
    </row>
    <row r="41" spans="1:43">
      <c r="A41" s="232"/>
      <c r="B41" s="232"/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  <c r="AA41" s="232"/>
      <c r="AB41" s="232"/>
      <c r="AC41" s="232"/>
      <c r="AD41" s="232"/>
      <c r="AE41" s="232"/>
      <c r="AF41" s="232"/>
      <c r="AG41" s="232"/>
      <c r="AH41" s="232"/>
      <c r="AI41" s="232"/>
      <c r="AJ41" s="232"/>
      <c r="AK41" s="232"/>
      <c r="AL41" s="232"/>
      <c r="AM41" s="232"/>
      <c r="AN41" s="232"/>
      <c r="AO41" s="232"/>
      <c r="AP41" s="232"/>
      <c r="AQ41" s="232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52">K9+S9+AK9</f>
        <v>0</v>
      </c>
      <c r="C46" s="83">
        <f t="shared" si="52"/>
        <v>0</v>
      </c>
      <c r="D46" s="83">
        <f t="shared" si="52"/>
        <v>0</v>
      </c>
      <c r="E46" s="83">
        <f t="shared" si="52"/>
        <v>0</v>
      </c>
      <c r="F46" s="83">
        <f t="shared" si="52"/>
        <v>0</v>
      </c>
      <c r="G46" s="83">
        <f t="shared" si="52"/>
        <v>0</v>
      </c>
      <c r="H46" s="83">
        <f t="shared" si="52"/>
        <v>0</v>
      </c>
    </row>
    <row r="47" spans="1:43">
      <c r="A47" s="84" t="s">
        <v>50</v>
      </c>
      <c r="B47" s="83">
        <f t="shared" si="52"/>
        <v>0</v>
      </c>
      <c r="C47" s="83">
        <f t="shared" si="52"/>
        <v>0</v>
      </c>
      <c r="D47" s="83">
        <f t="shared" si="52"/>
        <v>0</v>
      </c>
      <c r="E47" s="83">
        <f t="shared" si="52"/>
        <v>0</v>
      </c>
      <c r="F47" s="83">
        <f t="shared" si="52"/>
        <v>0</v>
      </c>
      <c r="G47" s="83">
        <f t="shared" si="52"/>
        <v>0</v>
      </c>
      <c r="H47" s="83">
        <f t="shared" si="52"/>
        <v>0</v>
      </c>
    </row>
    <row r="48" spans="1:43">
      <c r="A48" s="85" t="s">
        <v>44</v>
      </c>
      <c r="B48" s="86" t="e">
        <f>B47/B46*100</f>
        <v>#DIV/0!</v>
      </c>
      <c r="C48" s="86" t="e">
        <f t="shared" ref="C48:H48" si="53">C47/C46*100</f>
        <v>#DIV/0!</v>
      </c>
      <c r="D48" s="86" t="e">
        <f t="shared" si="53"/>
        <v>#DIV/0!</v>
      </c>
      <c r="E48" s="86" t="e">
        <f t="shared" si="53"/>
        <v>#DIV/0!</v>
      </c>
      <c r="F48" s="86" t="e">
        <f t="shared" si="53"/>
        <v>#DIV/0!</v>
      </c>
      <c r="G48" s="86" t="e">
        <f t="shared" si="53"/>
        <v>#DIV/0!</v>
      </c>
      <c r="H48" s="86" t="e">
        <f t="shared" si="53"/>
        <v>#DIV/0!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4">K13+S13+AK13</f>
        <v>0</v>
      </c>
      <c r="C50" s="90">
        <f t="shared" si="54"/>
        <v>0</v>
      </c>
      <c r="D50" s="90">
        <f t="shared" si="54"/>
        <v>0</v>
      </c>
      <c r="E50" s="90">
        <f t="shared" si="54"/>
        <v>0</v>
      </c>
      <c r="F50" s="90">
        <f t="shared" si="54"/>
        <v>0</v>
      </c>
      <c r="G50" s="90">
        <f t="shared" si="54"/>
        <v>0</v>
      </c>
      <c r="H50" s="90">
        <f t="shared" si="54"/>
        <v>0</v>
      </c>
    </row>
    <row r="51" spans="1:8">
      <c r="A51" s="75" t="s">
        <v>50</v>
      </c>
      <c r="B51" s="90">
        <f t="shared" si="54"/>
        <v>0</v>
      </c>
      <c r="C51" s="90">
        <f t="shared" si="54"/>
        <v>0</v>
      </c>
      <c r="D51" s="90">
        <f t="shared" si="54"/>
        <v>0</v>
      </c>
      <c r="E51" s="90">
        <f t="shared" si="54"/>
        <v>0</v>
      </c>
      <c r="F51" s="90">
        <f t="shared" si="54"/>
        <v>0</v>
      </c>
      <c r="G51" s="90">
        <f t="shared" si="54"/>
        <v>0</v>
      </c>
      <c r="H51" s="90">
        <f t="shared" si="54"/>
        <v>0</v>
      </c>
    </row>
    <row r="52" spans="1:8">
      <c r="A52" s="75" t="s">
        <v>44</v>
      </c>
      <c r="B52" s="91" t="e">
        <f t="shared" ref="B52:H52" si="55">B51/B50*100</f>
        <v>#DIV/0!</v>
      </c>
      <c r="C52" s="91" t="e">
        <f t="shared" si="55"/>
        <v>#DIV/0!</v>
      </c>
      <c r="D52" s="91" t="e">
        <f t="shared" si="55"/>
        <v>#DIV/0!</v>
      </c>
      <c r="E52" s="91" t="e">
        <f t="shared" si="55"/>
        <v>#DIV/0!</v>
      </c>
      <c r="F52" s="91" t="e">
        <f t="shared" si="55"/>
        <v>#DIV/0!</v>
      </c>
      <c r="G52" s="91" t="e">
        <f t="shared" si="55"/>
        <v>#DIV/0!</v>
      </c>
      <c r="H52" s="91" t="e">
        <f t="shared" si="55"/>
        <v>#DIV/0!</v>
      </c>
    </row>
    <row r="53" spans="1:8">
      <c r="A53" s="75" t="s">
        <v>13</v>
      </c>
      <c r="B53" s="90">
        <f t="shared" ref="B53:H55" si="56">K16+S16+AK16</f>
        <v>0</v>
      </c>
      <c r="C53" s="90">
        <f t="shared" si="56"/>
        <v>0</v>
      </c>
      <c r="D53" s="90">
        <f t="shared" si="56"/>
        <v>0</v>
      </c>
      <c r="E53" s="90">
        <f t="shared" si="56"/>
        <v>0</v>
      </c>
      <c r="F53" s="90">
        <f t="shared" si="56"/>
        <v>0</v>
      </c>
      <c r="G53" s="90">
        <f t="shared" si="56"/>
        <v>0</v>
      </c>
      <c r="H53" s="90">
        <f t="shared" si="56"/>
        <v>0</v>
      </c>
    </row>
    <row r="54" spans="1:8">
      <c r="A54" s="92" t="s">
        <v>14</v>
      </c>
      <c r="B54" s="90">
        <f t="shared" si="56"/>
        <v>0</v>
      </c>
      <c r="C54" s="90">
        <f t="shared" si="56"/>
        <v>0</v>
      </c>
      <c r="D54" s="90">
        <f t="shared" si="56"/>
        <v>0</v>
      </c>
      <c r="E54" s="90">
        <f t="shared" si="56"/>
        <v>0</v>
      </c>
      <c r="F54" s="90">
        <f t="shared" si="56"/>
        <v>0</v>
      </c>
      <c r="G54" s="90">
        <f t="shared" si="56"/>
        <v>0</v>
      </c>
      <c r="H54" s="90">
        <f t="shared" si="56"/>
        <v>0</v>
      </c>
    </row>
    <row r="55" spans="1:8">
      <c r="A55" s="75" t="s">
        <v>15</v>
      </c>
      <c r="B55" s="90">
        <f t="shared" si="56"/>
        <v>0</v>
      </c>
      <c r="C55" s="90">
        <f t="shared" si="56"/>
        <v>0</v>
      </c>
      <c r="D55" s="90">
        <f t="shared" si="56"/>
        <v>0</v>
      </c>
      <c r="E55" s="90">
        <f t="shared" si="56"/>
        <v>0</v>
      </c>
      <c r="F55" s="90">
        <f t="shared" si="56"/>
        <v>0</v>
      </c>
      <c r="G55" s="90">
        <f t="shared" si="56"/>
        <v>0</v>
      </c>
      <c r="H55" s="90">
        <f t="shared" si="56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7">K20+S20+AK20</f>
        <v>0</v>
      </c>
      <c r="C57" s="90">
        <f t="shared" si="57"/>
        <v>0</v>
      </c>
      <c r="D57" s="90">
        <f t="shared" si="57"/>
        <v>0</v>
      </c>
      <c r="E57" s="90">
        <f t="shared" si="57"/>
        <v>0</v>
      </c>
      <c r="F57" s="90">
        <f t="shared" si="57"/>
        <v>0</v>
      </c>
      <c r="G57" s="90">
        <f t="shared" si="57"/>
        <v>0</v>
      </c>
      <c r="H57" s="90">
        <f t="shared" si="57"/>
        <v>0</v>
      </c>
    </row>
    <row r="58" spans="1:8">
      <c r="A58" s="92" t="s">
        <v>50</v>
      </c>
      <c r="B58" s="90">
        <f t="shared" si="57"/>
        <v>0</v>
      </c>
      <c r="C58" s="90">
        <f t="shared" si="57"/>
        <v>0</v>
      </c>
      <c r="D58" s="90">
        <f t="shared" si="57"/>
        <v>0</v>
      </c>
      <c r="E58" s="90">
        <f t="shared" si="57"/>
        <v>0</v>
      </c>
      <c r="F58" s="90">
        <f t="shared" si="57"/>
        <v>0</v>
      </c>
      <c r="G58" s="90">
        <f t="shared" si="57"/>
        <v>0</v>
      </c>
      <c r="H58" s="90">
        <f t="shared" si="57"/>
        <v>0</v>
      </c>
    </row>
    <row r="59" spans="1:8">
      <c r="A59" s="75" t="s">
        <v>44</v>
      </c>
      <c r="B59" s="91" t="e">
        <f t="shared" ref="B59:H59" si="58">B58/B57*100</f>
        <v>#DIV/0!</v>
      </c>
      <c r="C59" s="91" t="e">
        <f t="shared" si="58"/>
        <v>#DIV/0!</v>
      </c>
      <c r="D59" s="91" t="e">
        <f t="shared" si="58"/>
        <v>#DIV/0!</v>
      </c>
      <c r="E59" s="91" t="e">
        <f t="shared" si="58"/>
        <v>#DIV/0!</v>
      </c>
      <c r="F59" s="91" t="e">
        <f t="shared" si="58"/>
        <v>#DIV/0!</v>
      </c>
      <c r="G59" s="91" t="e">
        <f t="shared" si="58"/>
        <v>#DIV/0!</v>
      </c>
      <c r="H59" s="91" t="e">
        <f t="shared" si="58"/>
        <v>#DIV/0!</v>
      </c>
    </row>
    <row r="60" spans="1:8">
      <c r="A60" s="75" t="s">
        <v>21</v>
      </c>
      <c r="B60" s="90">
        <f t="shared" ref="B60:H61" si="59">K23+S23+AK23</f>
        <v>0</v>
      </c>
      <c r="C60" s="90">
        <f t="shared" si="59"/>
        <v>0</v>
      </c>
      <c r="D60" s="90">
        <f t="shared" si="59"/>
        <v>0</v>
      </c>
      <c r="E60" s="90">
        <f t="shared" si="59"/>
        <v>0</v>
      </c>
      <c r="F60" s="90">
        <f t="shared" si="59"/>
        <v>0</v>
      </c>
      <c r="G60" s="90">
        <f t="shared" si="59"/>
        <v>0</v>
      </c>
      <c r="H60" s="90">
        <f t="shared" si="59"/>
        <v>0</v>
      </c>
    </row>
    <row r="61" spans="1:8">
      <c r="A61" s="75" t="s">
        <v>51</v>
      </c>
      <c r="B61" s="90">
        <f t="shared" si="59"/>
        <v>0</v>
      </c>
      <c r="C61" s="90">
        <f t="shared" si="59"/>
        <v>0</v>
      </c>
      <c r="D61" s="90">
        <f t="shared" si="59"/>
        <v>0</v>
      </c>
      <c r="E61" s="90">
        <f t="shared" si="59"/>
        <v>0</v>
      </c>
      <c r="F61" s="90">
        <f t="shared" si="59"/>
        <v>0</v>
      </c>
      <c r="G61" s="90">
        <f t="shared" si="59"/>
        <v>0</v>
      </c>
      <c r="H61" s="90">
        <f t="shared" si="59"/>
        <v>0</v>
      </c>
    </row>
    <row r="62" spans="1:8">
      <c r="A62" s="75" t="s">
        <v>12</v>
      </c>
      <c r="B62" s="91" t="e">
        <f t="shared" ref="B62:H62" si="60">B61/B60*100</f>
        <v>#DIV/0!</v>
      </c>
      <c r="C62" s="91" t="e">
        <f t="shared" si="60"/>
        <v>#DIV/0!</v>
      </c>
      <c r="D62" s="91" t="e">
        <f t="shared" si="60"/>
        <v>#DIV/0!</v>
      </c>
      <c r="E62" s="91" t="e">
        <f t="shared" si="60"/>
        <v>#DIV/0!</v>
      </c>
      <c r="F62" s="91" t="e">
        <f t="shared" si="60"/>
        <v>#DIV/0!</v>
      </c>
      <c r="G62" s="91" t="e">
        <f t="shared" si="60"/>
        <v>#DIV/0!</v>
      </c>
      <c r="H62" s="91" t="e">
        <f t="shared" si="60"/>
        <v>#DIV/0!</v>
      </c>
    </row>
    <row r="63" spans="1:8">
      <c r="A63" s="75" t="s">
        <v>23</v>
      </c>
      <c r="B63" s="90">
        <f t="shared" ref="B63:H64" si="61">K26+S26+AK26</f>
        <v>0</v>
      </c>
      <c r="C63" s="90">
        <f t="shared" si="61"/>
        <v>0</v>
      </c>
      <c r="D63" s="90">
        <f t="shared" si="61"/>
        <v>0</v>
      </c>
      <c r="E63" s="90">
        <f t="shared" si="61"/>
        <v>0</v>
      </c>
      <c r="F63" s="90">
        <f t="shared" si="61"/>
        <v>0</v>
      </c>
      <c r="G63" s="90">
        <f t="shared" si="61"/>
        <v>0</v>
      </c>
      <c r="H63" s="90">
        <f t="shared" si="61"/>
        <v>0</v>
      </c>
    </row>
    <row r="64" spans="1:8">
      <c r="A64" s="75" t="s">
        <v>45</v>
      </c>
      <c r="B64" s="90">
        <f t="shared" si="61"/>
        <v>0</v>
      </c>
      <c r="C64" s="90">
        <f t="shared" si="61"/>
        <v>0</v>
      </c>
      <c r="D64" s="90">
        <f t="shared" si="61"/>
        <v>0</v>
      </c>
      <c r="E64" s="90">
        <f t="shared" si="61"/>
        <v>0</v>
      </c>
      <c r="F64" s="90">
        <f t="shared" si="61"/>
        <v>0</v>
      </c>
      <c r="G64" s="90">
        <f t="shared" si="61"/>
        <v>0</v>
      </c>
      <c r="H64" s="90">
        <f t="shared" si="61"/>
        <v>0</v>
      </c>
    </row>
    <row r="65" spans="1:8">
      <c r="A65" s="75" t="s">
        <v>12</v>
      </c>
      <c r="B65" s="91" t="e">
        <f t="shared" ref="B65:H65" si="62">B64/B63*100</f>
        <v>#DIV/0!</v>
      </c>
      <c r="C65" s="91" t="e">
        <f t="shared" si="62"/>
        <v>#DIV/0!</v>
      </c>
      <c r="D65" s="91" t="e">
        <f t="shared" si="62"/>
        <v>#DIV/0!</v>
      </c>
      <c r="E65" s="91" t="e">
        <f t="shared" si="62"/>
        <v>#DIV/0!</v>
      </c>
      <c r="F65" s="91" t="e">
        <f t="shared" si="62"/>
        <v>#DIV/0!</v>
      </c>
      <c r="G65" s="91" t="e">
        <f t="shared" si="62"/>
        <v>#DIV/0!</v>
      </c>
      <c r="H65" s="91" t="e">
        <f t="shared" si="62"/>
        <v>#DIV/0!</v>
      </c>
    </row>
    <row r="66" spans="1:8">
      <c r="A66" s="75" t="s">
        <v>25</v>
      </c>
      <c r="B66" s="90">
        <f t="shared" ref="B66:H67" si="63">K29+S29+AK29</f>
        <v>0</v>
      </c>
      <c r="C66" s="90">
        <f t="shared" si="63"/>
        <v>0</v>
      </c>
      <c r="D66" s="90">
        <f t="shared" si="63"/>
        <v>0</v>
      </c>
      <c r="E66" s="90">
        <f t="shared" si="63"/>
        <v>0</v>
      </c>
      <c r="F66" s="90">
        <f t="shared" si="63"/>
        <v>0</v>
      </c>
      <c r="G66" s="90">
        <f t="shared" si="63"/>
        <v>0</v>
      </c>
      <c r="H66" s="90">
        <f t="shared" si="63"/>
        <v>0</v>
      </c>
    </row>
    <row r="67" spans="1:8">
      <c r="A67" s="75" t="s">
        <v>46</v>
      </c>
      <c r="B67" s="90">
        <f t="shared" si="63"/>
        <v>0</v>
      </c>
      <c r="C67" s="90">
        <f t="shared" si="63"/>
        <v>0</v>
      </c>
      <c r="D67" s="90">
        <f t="shared" si="63"/>
        <v>0</v>
      </c>
      <c r="E67" s="90">
        <f t="shared" si="63"/>
        <v>0</v>
      </c>
      <c r="F67" s="90">
        <f t="shared" si="63"/>
        <v>0</v>
      </c>
      <c r="G67" s="90">
        <f t="shared" si="63"/>
        <v>0</v>
      </c>
      <c r="H67" s="90">
        <f t="shared" si="63"/>
        <v>0</v>
      </c>
    </row>
    <row r="68" spans="1:8">
      <c r="A68" s="75" t="s">
        <v>12</v>
      </c>
      <c r="B68" s="91" t="e">
        <f t="shared" ref="B68:H68" si="64">B67/B66*100</f>
        <v>#DIV/0!</v>
      </c>
      <c r="C68" s="91" t="e">
        <f t="shared" si="64"/>
        <v>#DIV/0!</v>
      </c>
      <c r="D68" s="91" t="e">
        <f t="shared" si="64"/>
        <v>#DIV/0!</v>
      </c>
      <c r="E68" s="91" t="e">
        <f t="shared" si="64"/>
        <v>#DIV/0!</v>
      </c>
      <c r="F68" s="91" t="e">
        <f t="shared" si="64"/>
        <v>#DIV/0!</v>
      </c>
      <c r="G68" s="91" t="e">
        <f t="shared" si="64"/>
        <v>#DIV/0!</v>
      </c>
      <c r="H68" s="91" t="e">
        <f t="shared" si="64"/>
        <v>#DIV/0!</v>
      </c>
    </row>
    <row r="69" spans="1:8">
      <c r="A69" s="75" t="s">
        <v>27</v>
      </c>
      <c r="B69" s="90">
        <f t="shared" ref="B69:H70" si="65">K32+S32+AK32</f>
        <v>0</v>
      </c>
      <c r="C69" s="90">
        <f t="shared" si="65"/>
        <v>0</v>
      </c>
      <c r="D69" s="90">
        <f t="shared" si="65"/>
        <v>0</v>
      </c>
      <c r="E69" s="90">
        <f t="shared" si="65"/>
        <v>0</v>
      </c>
      <c r="F69" s="90">
        <f t="shared" si="65"/>
        <v>0</v>
      </c>
      <c r="G69" s="90">
        <f t="shared" si="65"/>
        <v>0</v>
      </c>
      <c r="H69" s="90">
        <f t="shared" si="65"/>
        <v>0</v>
      </c>
    </row>
    <row r="70" spans="1:8">
      <c r="A70" s="75" t="s">
        <v>47</v>
      </c>
      <c r="B70" s="90">
        <f t="shared" si="65"/>
        <v>0</v>
      </c>
      <c r="C70" s="90">
        <f t="shared" si="65"/>
        <v>0</v>
      </c>
      <c r="D70" s="90">
        <f t="shared" si="65"/>
        <v>0</v>
      </c>
      <c r="E70" s="90">
        <f t="shared" si="65"/>
        <v>0</v>
      </c>
      <c r="F70" s="90">
        <f t="shared" si="65"/>
        <v>0</v>
      </c>
      <c r="G70" s="90">
        <f t="shared" si="65"/>
        <v>0</v>
      </c>
      <c r="H70" s="90">
        <f t="shared" si="65"/>
        <v>0</v>
      </c>
    </row>
    <row r="71" spans="1:8">
      <c r="A71" s="75" t="s">
        <v>12</v>
      </c>
      <c r="B71" s="91" t="e">
        <f t="shared" ref="B71:H71" si="66">B70/B69*100</f>
        <v>#DIV/0!</v>
      </c>
      <c r="C71" s="91" t="e">
        <f t="shared" si="66"/>
        <v>#DIV/0!</v>
      </c>
      <c r="D71" s="91" t="e">
        <f t="shared" si="66"/>
        <v>#DIV/0!</v>
      </c>
      <c r="E71" s="91" t="e">
        <f t="shared" si="66"/>
        <v>#DIV/0!</v>
      </c>
      <c r="F71" s="91" t="e">
        <f t="shared" si="66"/>
        <v>#DIV/0!</v>
      </c>
      <c r="G71" s="91" t="e">
        <f t="shared" si="66"/>
        <v>#DIV/0!</v>
      </c>
      <c r="H71" s="91" t="e">
        <f t="shared" si="66"/>
        <v>#DIV/0!</v>
      </c>
    </row>
    <row r="72" spans="1:8">
      <c r="A72" s="75" t="s">
        <v>29</v>
      </c>
      <c r="B72" s="90">
        <f t="shared" ref="B72:H73" si="67">K35+S35+AK35</f>
        <v>0</v>
      </c>
      <c r="C72" s="90">
        <f t="shared" si="67"/>
        <v>0</v>
      </c>
      <c r="D72" s="90">
        <f t="shared" si="67"/>
        <v>0</v>
      </c>
      <c r="E72" s="90">
        <f t="shared" si="67"/>
        <v>0</v>
      </c>
      <c r="F72" s="90">
        <f t="shared" si="67"/>
        <v>0</v>
      </c>
      <c r="G72" s="90">
        <f t="shared" si="67"/>
        <v>0</v>
      </c>
      <c r="H72" s="90">
        <f t="shared" si="67"/>
        <v>0</v>
      </c>
    </row>
    <row r="73" spans="1:8">
      <c r="A73" s="75" t="s">
        <v>48</v>
      </c>
      <c r="B73" s="90">
        <f t="shared" si="67"/>
        <v>0</v>
      </c>
      <c r="C73" s="90">
        <f t="shared" si="67"/>
        <v>0</v>
      </c>
      <c r="D73" s="90">
        <f t="shared" si="67"/>
        <v>0</v>
      </c>
      <c r="E73" s="90">
        <f t="shared" si="67"/>
        <v>0</v>
      </c>
      <c r="F73" s="90">
        <f t="shared" si="67"/>
        <v>0</v>
      </c>
      <c r="G73" s="90">
        <f t="shared" si="67"/>
        <v>0</v>
      </c>
      <c r="H73" s="90">
        <f t="shared" si="67"/>
        <v>0</v>
      </c>
    </row>
    <row r="74" spans="1:8">
      <c r="A74" s="75" t="s">
        <v>12</v>
      </c>
      <c r="B74" s="91" t="e">
        <f t="shared" ref="B74:H74" si="68">B73/B72*100</f>
        <v>#DIV/0!</v>
      </c>
      <c r="C74" s="91" t="e">
        <f t="shared" si="68"/>
        <v>#DIV/0!</v>
      </c>
      <c r="D74" s="91" t="e">
        <f t="shared" si="68"/>
        <v>#DIV/0!</v>
      </c>
      <c r="E74" s="91" t="e">
        <f t="shared" si="68"/>
        <v>#DIV/0!</v>
      </c>
      <c r="F74" s="91" t="e">
        <f t="shared" si="68"/>
        <v>#DIV/0!</v>
      </c>
      <c r="G74" s="91" t="e">
        <f t="shared" si="68"/>
        <v>#DIV/0!</v>
      </c>
      <c r="H74" s="91" t="e">
        <f t="shared" si="68"/>
        <v>#DIV/0!</v>
      </c>
    </row>
    <row r="75" spans="1:8">
      <c r="A75" s="75" t="s">
        <v>31</v>
      </c>
      <c r="B75" s="90">
        <f t="shared" ref="B75:H76" si="69">K38+S38+AK38</f>
        <v>0</v>
      </c>
      <c r="C75" s="90">
        <f t="shared" si="69"/>
        <v>0</v>
      </c>
      <c r="D75" s="90">
        <f t="shared" si="69"/>
        <v>0</v>
      </c>
      <c r="E75" s="90">
        <f t="shared" si="69"/>
        <v>0</v>
      </c>
      <c r="F75" s="90">
        <f t="shared" si="69"/>
        <v>0</v>
      </c>
      <c r="G75" s="90">
        <f t="shared" si="69"/>
        <v>0</v>
      </c>
      <c r="H75" s="90">
        <f t="shared" si="69"/>
        <v>0</v>
      </c>
    </row>
    <row r="76" spans="1:8">
      <c r="A76" s="75" t="s">
        <v>52</v>
      </c>
      <c r="B76" s="90">
        <f t="shared" si="69"/>
        <v>0</v>
      </c>
      <c r="C76" s="90">
        <f t="shared" si="69"/>
        <v>0</v>
      </c>
      <c r="D76" s="90">
        <f t="shared" si="69"/>
        <v>0</v>
      </c>
      <c r="E76" s="90">
        <f t="shared" si="69"/>
        <v>0</v>
      </c>
      <c r="F76" s="90">
        <f t="shared" si="69"/>
        <v>0</v>
      </c>
      <c r="G76" s="90">
        <f t="shared" si="69"/>
        <v>0</v>
      </c>
      <c r="H76" s="90">
        <f t="shared" si="69"/>
        <v>0</v>
      </c>
    </row>
    <row r="77" spans="1:8">
      <c r="A77" s="75" t="s">
        <v>12</v>
      </c>
      <c r="B77" s="91" t="e">
        <f t="shared" ref="B77:H77" si="70">B76/B75*100</f>
        <v>#DIV/0!</v>
      </c>
      <c r="C77" s="91" t="e">
        <f t="shared" si="70"/>
        <v>#DIV/0!</v>
      </c>
      <c r="D77" s="91" t="e">
        <f t="shared" si="70"/>
        <v>#DIV/0!</v>
      </c>
      <c r="E77" s="91" t="e">
        <f t="shared" si="70"/>
        <v>#DIV/0!</v>
      </c>
      <c r="F77" s="91" t="e">
        <f t="shared" si="70"/>
        <v>#DIV/0!</v>
      </c>
      <c r="G77" s="91" t="e">
        <f t="shared" si="70"/>
        <v>#DIV/0!</v>
      </c>
      <c r="H77" s="91" t="e">
        <f t="shared" si="70"/>
        <v>#DIV/0!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71">B9-B46</f>
        <v>0</v>
      </c>
      <c r="C83" s="83">
        <f t="shared" si="71"/>
        <v>0</v>
      </c>
      <c r="D83" s="83">
        <f t="shared" si="71"/>
        <v>0</v>
      </c>
      <c r="E83" s="83">
        <f t="shared" si="71"/>
        <v>0</v>
      </c>
      <c r="F83" s="83">
        <f t="shared" si="71"/>
        <v>0</v>
      </c>
      <c r="G83" s="83">
        <f t="shared" si="71"/>
        <v>0</v>
      </c>
      <c r="H83" s="83">
        <f t="shared" si="71"/>
        <v>0</v>
      </c>
    </row>
    <row r="84" spans="1:8">
      <c r="A84" s="84" t="s">
        <v>50</v>
      </c>
      <c r="B84" s="83">
        <f t="shared" si="71"/>
        <v>0</v>
      </c>
      <c r="C84" s="83">
        <f t="shared" si="71"/>
        <v>0</v>
      </c>
      <c r="D84" s="83">
        <f t="shared" si="71"/>
        <v>0</v>
      </c>
      <c r="E84" s="83">
        <f t="shared" si="71"/>
        <v>0</v>
      </c>
      <c r="F84" s="83">
        <f t="shared" si="71"/>
        <v>0</v>
      </c>
      <c r="G84" s="83">
        <f t="shared" si="71"/>
        <v>0</v>
      </c>
      <c r="H84" s="83">
        <f t="shared" si="71"/>
        <v>0</v>
      </c>
    </row>
    <row r="85" spans="1:8">
      <c r="A85" s="85" t="s">
        <v>44</v>
      </c>
      <c r="B85" s="83" t="e">
        <f t="shared" si="71"/>
        <v>#DIV/0!</v>
      </c>
      <c r="C85" s="83" t="e">
        <f t="shared" si="71"/>
        <v>#DIV/0!</v>
      </c>
      <c r="D85" s="83" t="e">
        <f t="shared" si="71"/>
        <v>#DIV/0!</v>
      </c>
      <c r="E85" s="83" t="e">
        <f t="shared" si="71"/>
        <v>#DIV/0!</v>
      </c>
      <c r="F85" s="83" t="e">
        <f t="shared" si="71"/>
        <v>#DIV/0!</v>
      </c>
      <c r="G85" s="83" t="e">
        <f t="shared" si="71"/>
        <v>#DIV/0!</v>
      </c>
      <c r="H85" s="83" t="e">
        <f t="shared" si="71"/>
        <v>#DIV/0!</v>
      </c>
    </row>
    <row r="86" spans="1:8">
      <c r="A86" s="87" t="s">
        <v>11</v>
      </c>
      <c r="B86" s="83">
        <f t="shared" si="71"/>
        <v>0</v>
      </c>
      <c r="C86" s="83">
        <f t="shared" si="71"/>
        <v>0</v>
      </c>
      <c r="D86" s="83">
        <f t="shared" si="71"/>
        <v>0</v>
      </c>
      <c r="E86" s="83">
        <f t="shared" si="71"/>
        <v>0</v>
      </c>
      <c r="F86" s="83">
        <f t="shared" si="71"/>
        <v>0</v>
      </c>
      <c r="G86" s="83">
        <f t="shared" si="71"/>
        <v>0</v>
      </c>
      <c r="H86" s="83">
        <f t="shared" si="71"/>
        <v>0</v>
      </c>
    </row>
    <row r="87" spans="1:8">
      <c r="A87" s="75" t="s">
        <v>40</v>
      </c>
      <c r="B87" s="83">
        <f t="shared" si="71"/>
        <v>0</v>
      </c>
      <c r="C87" s="83">
        <f t="shared" si="71"/>
        <v>0</v>
      </c>
      <c r="D87" s="83">
        <f t="shared" si="71"/>
        <v>0</v>
      </c>
      <c r="E87" s="83">
        <f t="shared" si="71"/>
        <v>0</v>
      </c>
      <c r="F87" s="83">
        <f t="shared" si="71"/>
        <v>0</v>
      </c>
      <c r="G87" s="83">
        <f t="shared" si="71"/>
        <v>0</v>
      </c>
      <c r="H87" s="83">
        <f t="shared" si="71"/>
        <v>0</v>
      </c>
    </row>
    <row r="88" spans="1:8">
      <c r="A88" s="75" t="s">
        <v>50</v>
      </c>
      <c r="B88" s="83">
        <f t="shared" si="71"/>
        <v>0</v>
      </c>
      <c r="C88" s="83">
        <f t="shared" si="71"/>
        <v>0</v>
      </c>
      <c r="D88" s="83">
        <f t="shared" si="71"/>
        <v>0</v>
      </c>
      <c r="E88" s="83">
        <f t="shared" si="71"/>
        <v>0</v>
      </c>
      <c r="F88" s="83">
        <f t="shared" si="71"/>
        <v>0</v>
      </c>
      <c r="G88" s="83">
        <f t="shared" si="71"/>
        <v>0</v>
      </c>
      <c r="H88" s="83">
        <f t="shared" si="71"/>
        <v>0</v>
      </c>
    </row>
    <row r="89" spans="1:8">
      <c r="A89" s="75" t="s">
        <v>44</v>
      </c>
      <c r="B89" s="83" t="e">
        <f t="shared" si="71"/>
        <v>#DIV/0!</v>
      </c>
      <c r="C89" s="83" t="e">
        <f t="shared" si="71"/>
        <v>#DIV/0!</v>
      </c>
      <c r="D89" s="83" t="e">
        <f t="shared" si="71"/>
        <v>#DIV/0!</v>
      </c>
      <c r="E89" s="83" t="e">
        <f t="shared" si="71"/>
        <v>#DIV/0!</v>
      </c>
      <c r="F89" s="83" t="e">
        <f t="shared" si="71"/>
        <v>#DIV/0!</v>
      </c>
      <c r="G89" s="83" t="e">
        <f t="shared" si="71"/>
        <v>#DIV/0!</v>
      </c>
      <c r="H89" s="83" t="e">
        <f t="shared" si="71"/>
        <v>#DIV/0!</v>
      </c>
    </row>
    <row r="90" spans="1:8">
      <c r="A90" s="75" t="s">
        <v>13</v>
      </c>
      <c r="B90" s="83">
        <f t="shared" si="71"/>
        <v>0</v>
      </c>
      <c r="C90" s="83">
        <f t="shared" si="71"/>
        <v>0</v>
      </c>
      <c r="D90" s="83">
        <f t="shared" si="71"/>
        <v>0</v>
      </c>
      <c r="E90" s="83">
        <f t="shared" si="71"/>
        <v>0</v>
      </c>
      <c r="F90" s="83">
        <f t="shared" si="71"/>
        <v>0</v>
      </c>
      <c r="G90" s="83">
        <f t="shared" si="71"/>
        <v>0</v>
      </c>
      <c r="H90" s="83">
        <f t="shared" si="71"/>
        <v>0</v>
      </c>
    </row>
    <row r="91" spans="1:8">
      <c r="A91" s="92" t="s">
        <v>14</v>
      </c>
      <c r="B91" s="83">
        <f t="shared" si="71"/>
        <v>0</v>
      </c>
      <c r="C91" s="83">
        <f t="shared" si="71"/>
        <v>0</v>
      </c>
      <c r="D91" s="83">
        <f t="shared" si="71"/>
        <v>0</v>
      </c>
      <c r="E91" s="83">
        <f t="shared" si="71"/>
        <v>0</v>
      </c>
      <c r="F91" s="83">
        <f t="shared" si="71"/>
        <v>0</v>
      </c>
      <c r="G91" s="83">
        <f t="shared" si="71"/>
        <v>0</v>
      </c>
      <c r="H91" s="83">
        <f t="shared" si="71"/>
        <v>0</v>
      </c>
    </row>
    <row r="92" spans="1:8">
      <c r="A92" s="75" t="s">
        <v>15</v>
      </c>
      <c r="B92" s="83">
        <f t="shared" si="71"/>
        <v>0</v>
      </c>
      <c r="C92" s="83">
        <f t="shared" si="71"/>
        <v>0</v>
      </c>
      <c r="D92" s="83">
        <f t="shared" si="71"/>
        <v>0</v>
      </c>
      <c r="E92" s="83">
        <f t="shared" si="71"/>
        <v>0</v>
      </c>
      <c r="F92" s="83">
        <f t="shared" si="71"/>
        <v>0</v>
      </c>
      <c r="G92" s="83">
        <f t="shared" si="71"/>
        <v>0</v>
      </c>
      <c r="H92" s="83">
        <f t="shared" si="71"/>
        <v>0</v>
      </c>
    </row>
    <row r="93" spans="1:8">
      <c r="A93" s="87" t="s">
        <v>16</v>
      </c>
      <c r="B93" s="83">
        <f t="shared" si="71"/>
        <v>0</v>
      </c>
      <c r="C93" s="83">
        <f t="shared" si="71"/>
        <v>0</v>
      </c>
      <c r="D93" s="83">
        <f t="shared" si="71"/>
        <v>0</v>
      </c>
      <c r="E93" s="83">
        <f t="shared" si="71"/>
        <v>0</v>
      </c>
      <c r="F93" s="83">
        <f t="shared" si="71"/>
        <v>0</v>
      </c>
      <c r="G93" s="83">
        <f t="shared" si="71"/>
        <v>0</v>
      </c>
      <c r="H93" s="83">
        <f t="shared" si="71"/>
        <v>0</v>
      </c>
    </row>
    <row r="94" spans="1:8">
      <c r="A94" s="75" t="s">
        <v>40</v>
      </c>
      <c r="B94" s="83">
        <f t="shared" si="71"/>
        <v>0</v>
      </c>
      <c r="C94" s="83">
        <f t="shared" si="71"/>
        <v>0</v>
      </c>
      <c r="D94" s="83">
        <f t="shared" si="71"/>
        <v>0</v>
      </c>
      <c r="E94" s="83">
        <f t="shared" si="71"/>
        <v>0</v>
      </c>
      <c r="F94" s="83">
        <f t="shared" si="71"/>
        <v>0</v>
      </c>
      <c r="G94" s="83">
        <f t="shared" si="71"/>
        <v>0</v>
      </c>
      <c r="H94" s="83">
        <f t="shared" si="71"/>
        <v>0</v>
      </c>
    </row>
    <row r="95" spans="1:8">
      <c r="A95" s="92" t="s">
        <v>50</v>
      </c>
      <c r="B95" s="83">
        <f t="shared" si="71"/>
        <v>0</v>
      </c>
      <c r="C95" s="83">
        <f t="shared" si="71"/>
        <v>0</v>
      </c>
      <c r="D95" s="83">
        <f t="shared" si="71"/>
        <v>0</v>
      </c>
      <c r="E95" s="83">
        <f t="shared" si="71"/>
        <v>0</v>
      </c>
      <c r="F95" s="83">
        <f t="shared" si="71"/>
        <v>0</v>
      </c>
      <c r="G95" s="83">
        <f t="shared" si="71"/>
        <v>0</v>
      </c>
      <c r="H95" s="83">
        <f t="shared" si="71"/>
        <v>0</v>
      </c>
    </row>
    <row r="96" spans="1:8">
      <c r="A96" s="75" t="s">
        <v>44</v>
      </c>
      <c r="B96" s="83" t="e">
        <f t="shared" si="71"/>
        <v>#DIV/0!</v>
      </c>
      <c r="C96" s="83" t="e">
        <f t="shared" si="71"/>
        <v>#DIV/0!</v>
      </c>
      <c r="D96" s="83" t="e">
        <f t="shared" si="71"/>
        <v>#DIV/0!</v>
      </c>
      <c r="E96" s="83" t="e">
        <f t="shared" si="71"/>
        <v>#DIV/0!</v>
      </c>
      <c r="F96" s="83" t="e">
        <f t="shared" si="71"/>
        <v>#DIV/0!</v>
      </c>
      <c r="G96" s="83" t="e">
        <f t="shared" si="71"/>
        <v>#DIV/0!</v>
      </c>
      <c r="H96" s="83" t="e">
        <f t="shared" si="71"/>
        <v>#DIV/0!</v>
      </c>
    </row>
    <row r="97" spans="1:8">
      <c r="A97" s="75" t="s">
        <v>21</v>
      </c>
      <c r="B97" s="83">
        <f t="shared" si="71"/>
        <v>0</v>
      </c>
      <c r="C97" s="83">
        <f t="shared" si="71"/>
        <v>0</v>
      </c>
      <c r="D97" s="83">
        <f t="shared" si="71"/>
        <v>0</v>
      </c>
      <c r="E97" s="83">
        <f t="shared" si="71"/>
        <v>0</v>
      </c>
      <c r="F97" s="83">
        <f t="shared" si="71"/>
        <v>0</v>
      </c>
      <c r="G97" s="83">
        <f t="shared" si="71"/>
        <v>0</v>
      </c>
      <c r="H97" s="83">
        <f t="shared" si="71"/>
        <v>0</v>
      </c>
    </row>
    <row r="98" spans="1:8">
      <c r="A98" s="75" t="s">
        <v>51</v>
      </c>
      <c r="B98" s="83">
        <f t="shared" si="71"/>
        <v>0</v>
      </c>
      <c r="C98" s="83">
        <f t="shared" si="71"/>
        <v>0</v>
      </c>
      <c r="D98" s="83">
        <f t="shared" si="71"/>
        <v>0</v>
      </c>
      <c r="E98" s="83">
        <f t="shared" si="71"/>
        <v>0</v>
      </c>
      <c r="F98" s="83">
        <f t="shared" si="71"/>
        <v>0</v>
      </c>
      <c r="G98" s="83">
        <f t="shared" si="71"/>
        <v>0</v>
      </c>
      <c r="H98" s="83">
        <f t="shared" si="71"/>
        <v>0</v>
      </c>
    </row>
    <row r="99" spans="1:8">
      <c r="A99" s="75" t="s">
        <v>12</v>
      </c>
      <c r="B99" s="83" t="e">
        <f t="shared" ref="B99:H114" si="72">B25-B62</f>
        <v>#DIV/0!</v>
      </c>
      <c r="C99" s="83" t="e">
        <f t="shared" si="72"/>
        <v>#DIV/0!</v>
      </c>
      <c r="D99" s="83" t="e">
        <f t="shared" si="72"/>
        <v>#DIV/0!</v>
      </c>
      <c r="E99" s="83" t="e">
        <f t="shared" si="72"/>
        <v>#DIV/0!</v>
      </c>
      <c r="F99" s="83" t="e">
        <f t="shared" si="72"/>
        <v>#DIV/0!</v>
      </c>
      <c r="G99" s="83" t="e">
        <f t="shared" si="72"/>
        <v>#DIV/0!</v>
      </c>
      <c r="H99" s="83" t="e">
        <f t="shared" si="72"/>
        <v>#DIV/0!</v>
      </c>
    </row>
    <row r="100" spans="1:8">
      <c r="A100" s="75" t="s">
        <v>23</v>
      </c>
      <c r="B100" s="83">
        <f t="shared" si="72"/>
        <v>0</v>
      </c>
      <c r="C100" s="83">
        <f t="shared" si="72"/>
        <v>0</v>
      </c>
      <c r="D100" s="83">
        <f t="shared" si="72"/>
        <v>0</v>
      </c>
      <c r="E100" s="83">
        <f t="shared" si="72"/>
        <v>0</v>
      </c>
      <c r="F100" s="83">
        <f t="shared" si="72"/>
        <v>0</v>
      </c>
      <c r="G100" s="83">
        <f t="shared" si="72"/>
        <v>0</v>
      </c>
      <c r="H100" s="83">
        <f t="shared" si="72"/>
        <v>0</v>
      </c>
    </row>
    <row r="101" spans="1:8">
      <c r="A101" s="75" t="s">
        <v>45</v>
      </c>
      <c r="B101" s="83">
        <f t="shared" si="72"/>
        <v>0</v>
      </c>
      <c r="C101" s="83">
        <f t="shared" si="72"/>
        <v>0</v>
      </c>
      <c r="D101" s="83">
        <f t="shared" si="72"/>
        <v>0</v>
      </c>
      <c r="E101" s="83">
        <f t="shared" si="72"/>
        <v>0</v>
      </c>
      <c r="F101" s="83">
        <f t="shared" si="72"/>
        <v>0</v>
      </c>
      <c r="G101" s="83">
        <f t="shared" si="72"/>
        <v>0</v>
      </c>
      <c r="H101" s="83">
        <f t="shared" si="72"/>
        <v>0</v>
      </c>
    </row>
    <row r="102" spans="1:8">
      <c r="A102" s="75" t="s">
        <v>12</v>
      </c>
      <c r="B102" s="83" t="e">
        <f t="shared" si="72"/>
        <v>#DIV/0!</v>
      </c>
      <c r="C102" s="83" t="e">
        <f t="shared" si="72"/>
        <v>#DIV/0!</v>
      </c>
      <c r="D102" s="83" t="e">
        <f t="shared" si="72"/>
        <v>#DIV/0!</v>
      </c>
      <c r="E102" s="83" t="e">
        <f t="shared" si="72"/>
        <v>#DIV/0!</v>
      </c>
      <c r="F102" s="83" t="e">
        <f t="shared" si="72"/>
        <v>#DIV/0!</v>
      </c>
      <c r="G102" s="83" t="e">
        <f t="shared" si="72"/>
        <v>#DIV/0!</v>
      </c>
      <c r="H102" s="83" t="e">
        <f t="shared" si="72"/>
        <v>#DIV/0!</v>
      </c>
    </row>
    <row r="103" spans="1:8">
      <c r="A103" s="75" t="s">
        <v>25</v>
      </c>
      <c r="B103" s="83">
        <f t="shared" si="72"/>
        <v>0</v>
      </c>
      <c r="C103" s="83">
        <f t="shared" si="72"/>
        <v>0</v>
      </c>
      <c r="D103" s="83">
        <f t="shared" si="72"/>
        <v>0</v>
      </c>
      <c r="E103" s="83">
        <f t="shared" si="72"/>
        <v>0</v>
      </c>
      <c r="F103" s="83">
        <f t="shared" si="72"/>
        <v>0</v>
      </c>
      <c r="G103" s="83">
        <f t="shared" si="72"/>
        <v>0</v>
      </c>
      <c r="H103" s="83">
        <f t="shared" si="72"/>
        <v>0</v>
      </c>
    </row>
    <row r="104" spans="1:8">
      <c r="A104" s="75" t="s">
        <v>46</v>
      </c>
      <c r="B104" s="83">
        <f t="shared" si="72"/>
        <v>0</v>
      </c>
      <c r="C104" s="83">
        <f t="shared" si="72"/>
        <v>0</v>
      </c>
      <c r="D104" s="83">
        <f t="shared" si="72"/>
        <v>0</v>
      </c>
      <c r="E104" s="83">
        <f t="shared" si="72"/>
        <v>0</v>
      </c>
      <c r="F104" s="83">
        <f t="shared" si="72"/>
        <v>0</v>
      </c>
      <c r="G104" s="83">
        <f t="shared" si="72"/>
        <v>0</v>
      </c>
      <c r="H104" s="83">
        <f t="shared" si="72"/>
        <v>0</v>
      </c>
    </row>
    <row r="105" spans="1:8">
      <c r="A105" s="75" t="s">
        <v>12</v>
      </c>
      <c r="B105" s="83" t="e">
        <f t="shared" si="72"/>
        <v>#DIV/0!</v>
      </c>
      <c r="C105" s="83" t="e">
        <f t="shared" si="72"/>
        <v>#DIV/0!</v>
      </c>
      <c r="D105" s="83" t="e">
        <f t="shared" si="72"/>
        <v>#DIV/0!</v>
      </c>
      <c r="E105" s="83" t="e">
        <f t="shared" si="72"/>
        <v>#DIV/0!</v>
      </c>
      <c r="F105" s="83" t="e">
        <f t="shared" si="72"/>
        <v>#DIV/0!</v>
      </c>
      <c r="G105" s="83" t="e">
        <f t="shared" si="72"/>
        <v>#DIV/0!</v>
      </c>
      <c r="H105" s="83" t="e">
        <f t="shared" si="72"/>
        <v>#DIV/0!</v>
      </c>
    </row>
    <row r="106" spans="1:8">
      <c r="A106" s="75" t="s">
        <v>27</v>
      </c>
      <c r="B106" s="83">
        <f t="shared" si="72"/>
        <v>0</v>
      </c>
      <c r="C106" s="83">
        <f t="shared" si="72"/>
        <v>0</v>
      </c>
      <c r="D106" s="83">
        <f t="shared" si="72"/>
        <v>0</v>
      </c>
      <c r="E106" s="83">
        <f t="shared" si="72"/>
        <v>0</v>
      </c>
      <c r="F106" s="83">
        <f t="shared" si="72"/>
        <v>0</v>
      </c>
      <c r="G106" s="83">
        <f t="shared" si="72"/>
        <v>0</v>
      </c>
      <c r="H106" s="83">
        <f t="shared" si="72"/>
        <v>0</v>
      </c>
    </row>
    <row r="107" spans="1:8">
      <c r="A107" s="75" t="s">
        <v>47</v>
      </c>
      <c r="B107" s="83">
        <f t="shared" si="72"/>
        <v>0</v>
      </c>
      <c r="C107" s="83">
        <f t="shared" si="72"/>
        <v>0</v>
      </c>
      <c r="D107" s="83">
        <f t="shared" si="72"/>
        <v>0</v>
      </c>
      <c r="E107" s="83">
        <f t="shared" si="72"/>
        <v>0</v>
      </c>
      <c r="F107" s="83">
        <f t="shared" si="72"/>
        <v>0</v>
      </c>
      <c r="G107" s="83">
        <f t="shared" si="72"/>
        <v>0</v>
      </c>
      <c r="H107" s="83">
        <f t="shared" si="72"/>
        <v>0</v>
      </c>
    </row>
    <row r="108" spans="1:8">
      <c r="A108" s="75" t="s">
        <v>12</v>
      </c>
      <c r="B108" s="83" t="e">
        <f t="shared" si="72"/>
        <v>#DIV/0!</v>
      </c>
      <c r="C108" s="83" t="e">
        <f t="shared" si="72"/>
        <v>#DIV/0!</v>
      </c>
      <c r="D108" s="83" t="e">
        <f t="shared" si="72"/>
        <v>#DIV/0!</v>
      </c>
      <c r="E108" s="83" t="e">
        <f t="shared" si="72"/>
        <v>#DIV/0!</v>
      </c>
      <c r="F108" s="83" t="e">
        <f t="shared" si="72"/>
        <v>#DIV/0!</v>
      </c>
      <c r="G108" s="83" t="e">
        <f t="shared" si="72"/>
        <v>#DIV/0!</v>
      </c>
      <c r="H108" s="83" t="e">
        <f t="shared" si="72"/>
        <v>#DIV/0!</v>
      </c>
    </row>
    <row r="109" spans="1:8">
      <c r="A109" s="75" t="s">
        <v>29</v>
      </c>
      <c r="B109" s="83">
        <f t="shared" si="72"/>
        <v>0</v>
      </c>
      <c r="C109" s="83">
        <f t="shared" si="72"/>
        <v>0</v>
      </c>
      <c r="D109" s="83">
        <f t="shared" si="72"/>
        <v>0</v>
      </c>
      <c r="E109" s="83">
        <f t="shared" si="72"/>
        <v>0</v>
      </c>
      <c r="F109" s="83">
        <f t="shared" si="72"/>
        <v>0</v>
      </c>
      <c r="G109" s="83">
        <f t="shared" si="72"/>
        <v>0</v>
      </c>
      <c r="H109" s="83">
        <f t="shared" si="72"/>
        <v>0</v>
      </c>
    </row>
    <row r="110" spans="1:8">
      <c r="A110" s="75" t="s">
        <v>48</v>
      </c>
      <c r="B110" s="83">
        <f t="shared" si="72"/>
        <v>0</v>
      </c>
      <c r="C110" s="83">
        <f t="shared" si="72"/>
        <v>0</v>
      </c>
      <c r="D110" s="83">
        <f t="shared" si="72"/>
        <v>0</v>
      </c>
      <c r="E110" s="83">
        <f t="shared" si="72"/>
        <v>0</v>
      </c>
      <c r="F110" s="83">
        <f t="shared" si="72"/>
        <v>0</v>
      </c>
      <c r="G110" s="83">
        <f t="shared" si="72"/>
        <v>0</v>
      </c>
      <c r="H110" s="83">
        <f t="shared" si="72"/>
        <v>0</v>
      </c>
    </row>
    <row r="111" spans="1:8">
      <c r="A111" s="75" t="s">
        <v>12</v>
      </c>
      <c r="B111" s="83" t="e">
        <f t="shared" si="72"/>
        <v>#DIV/0!</v>
      </c>
      <c r="C111" s="83" t="e">
        <f t="shared" si="72"/>
        <v>#DIV/0!</v>
      </c>
      <c r="D111" s="83" t="e">
        <f t="shared" si="72"/>
        <v>#DIV/0!</v>
      </c>
      <c r="E111" s="83" t="e">
        <f t="shared" si="72"/>
        <v>#DIV/0!</v>
      </c>
      <c r="F111" s="83" t="e">
        <f t="shared" si="72"/>
        <v>#DIV/0!</v>
      </c>
      <c r="G111" s="83" t="e">
        <f t="shared" si="72"/>
        <v>#DIV/0!</v>
      </c>
      <c r="H111" s="83" t="e">
        <f t="shared" si="72"/>
        <v>#DIV/0!</v>
      </c>
    </row>
    <row r="112" spans="1:8">
      <c r="A112" s="75" t="s">
        <v>31</v>
      </c>
      <c r="B112" s="83">
        <f t="shared" si="72"/>
        <v>0</v>
      </c>
      <c r="C112" s="83">
        <f t="shared" si="72"/>
        <v>0</v>
      </c>
      <c r="D112" s="83">
        <f t="shared" si="72"/>
        <v>0</v>
      </c>
      <c r="E112" s="83">
        <f t="shared" si="72"/>
        <v>0</v>
      </c>
      <c r="F112" s="83">
        <f t="shared" si="72"/>
        <v>0</v>
      </c>
      <c r="G112" s="83">
        <f t="shared" si="72"/>
        <v>0</v>
      </c>
      <c r="H112" s="83">
        <f t="shared" si="72"/>
        <v>0</v>
      </c>
    </row>
    <row r="113" spans="1:8">
      <c r="A113" s="75" t="s">
        <v>52</v>
      </c>
      <c r="B113" s="83">
        <f t="shared" si="72"/>
        <v>0</v>
      </c>
      <c r="C113" s="83">
        <f t="shared" si="72"/>
        <v>0</v>
      </c>
      <c r="D113" s="83">
        <f t="shared" si="72"/>
        <v>0</v>
      </c>
      <c r="E113" s="83">
        <f t="shared" si="72"/>
        <v>0</v>
      </c>
      <c r="F113" s="83">
        <f t="shared" si="72"/>
        <v>0</v>
      </c>
      <c r="G113" s="83">
        <f t="shared" si="72"/>
        <v>0</v>
      </c>
      <c r="H113" s="83">
        <f t="shared" si="72"/>
        <v>0</v>
      </c>
    </row>
    <row r="114" spans="1:8">
      <c r="A114" s="75" t="s">
        <v>12</v>
      </c>
      <c r="B114" s="83" t="e">
        <f t="shared" si="72"/>
        <v>#DIV/0!</v>
      </c>
      <c r="C114" s="83" t="e">
        <f t="shared" si="72"/>
        <v>#DIV/0!</v>
      </c>
      <c r="D114" s="83" t="e">
        <f t="shared" si="72"/>
        <v>#DIV/0!</v>
      </c>
      <c r="E114" s="83" t="e">
        <f t="shared" si="72"/>
        <v>#DIV/0!</v>
      </c>
      <c r="F114" s="83" t="e">
        <f t="shared" si="72"/>
        <v>#DIV/0!</v>
      </c>
      <c r="G114" s="83" t="e">
        <f t="shared" si="72"/>
        <v>#DIV/0!</v>
      </c>
      <c r="H114" s="83" t="e">
        <f t="shared" si="72"/>
        <v>#DIV/0!</v>
      </c>
    </row>
  </sheetData>
  <mergeCells count="3">
    <mergeCell ref="A4:H4"/>
    <mergeCell ref="A1:H1"/>
    <mergeCell ref="A2:D2"/>
  </mergeCells>
  <phoneticPr fontId="17" type="noConversion"/>
  <pageMargins left="0.21" right="0.21" top="0.26" bottom="0.3" header="0.17" footer="0.1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2"/>
  <dimension ref="A1:BC114"/>
  <sheetViews>
    <sheetView zoomScale="85" zoomScaleNormal="85" workbookViewId="0">
      <selection activeCell="A9" sqref="A9:AQ40"/>
    </sheetView>
  </sheetViews>
  <sheetFormatPr defaultRowHeight="13.2"/>
  <cols>
    <col min="1" max="1" width="13.33203125" customWidth="1"/>
    <col min="5" max="6" width="7.33203125" customWidth="1"/>
    <col min="7" max="7" width="7.5546875" customWidth="1"/>
    <col min="8" max="8" width="7.109375" customWidth="1"/>
    <col min="9" max="9" width="5.88671875" customWidth="1"/>
    <col min="11" max="11" width="7.5546875" customWidth="1"/>
    <col min="14" max="14" width="6.6640625" customWidth="1"/>
    <col min="15" max="15" width="8.33203125" customWidth="1"/>
    <col min="16" max="16" width="6.88671875" customWidth="1"/>
    <col min="17" max="17" width="7.33203125" customWidth="1"/>
    <col min="18" max="18" width="14" customWidth="1"/>
    <col min="19" max="19" width="7.33203125" customWidth="1"/>
    <col min="20" max="20" width="8.109375" customWidth="1"/>
    <col min="21" max="21" width="8" customWidth="1"/>
    <col min="22" max="22" width="5.6640625" customWidth="1"/>
    <col min="23" max="23" width="7.33203125" customWidth="1"/>
    <col min="24" max="24" width="7" customWidth="1"/>
    <col min="25" max="25" width="7.33203125" customWidth="1"/>
    <col min="27" max="27" width="15.109375" customWidth="1"/>
    <col min="28" max="29" width="7.33203125" customWidth="1"/>
    <col min="31" max="31" width="6.5546875" customWidth="1"/>
    <col min="32" max="34" width="7.33203125" customWidth="1"/>
    <col min="35" max="35" width="5.33203125" customWidth="1"/>
    <col min="36" max="36" width="10.109375" customWidth="1"/>
  </cols>
  <sheetData>
    <row r="1" spans="1:55" s="12" customFormat="1" ht="18.75" customHeight="1">
      <c r="A1" s="466" t="s">
        <v>55</v>
      </c>
      <c r="B1" s="466"/>
      <c r="C1" s="466"/>
      <c r="D1" s="466"/>
      <c r="E1" s="466"/>
      <c r="F1" s="466"/>
      <c r="G1" s="466"/>
      <c r="H1" s="466"/>
      <c r="I1" s="201"/>
      <c r="K1" s="37"/>
      <c r="L1" s="37"/>
      <c r="M1" s="37"/>
      <c r="N1" s="37"/>
      <c r="O1" s="37"/>
      <c r="P1" s="37"/>
      <c r="Q1" s="38" t="s">
        <v>33</v>
      </c>
    </row>
    <row r="2" spans="1:55" s="12" customFormat="1" ht="29.25" customHeight="1">
      <c r="A2" s="224"/>
      <c r="B2" s="224"/>
      <c r="C2" s="224"/>
      <c r="D2" s="224"/>
      <c r="E2" s="467" t="s">
        <v>119</v>
      </c>
      <c r="F2" s="467"/>
      <c r="G2" s="467"/>
      <c r="H2" s="467"/>
      <c r="I2" s="201"/>
    </row>
    <row r="3" spans="1:55" s="37" customFormat="1" ht="33" customHeight="1">
      <c r="A3" s="468" t="s">
        <v>118</v>
      </c>
      <c r="B3" s="468"/>
      <c r="C3" s="468"/>
      <c r="D3" s="468"/>
      <c r="E3" s="468"/>
      <c r="F3" s="468"/>
      <c r="G3" s="468"/>
      <c r="H3" s="468"/>
      <c r="I3" s="201"/>
      <c r="K3" s="40"/>
      <c r="L3" s="12"/>
      <c r="M3" s="12"/>
      <c r="N3" s="12"/>
      <c r="O3" s="12"/>
      <c r="P3" s="12"/>
      <c r="Q3" s="12"/>
    </row>
    <row r="4" spans="1:55" s="37" customFormat="1" ht="15.75" customHeight="1">
      <c r="A4" s="40"/>
      <c r="B4" s="40"/>
      <c r="C4" s="40"/>
      <c r="D4" s="40"/>
      <c r="E4" s="40"/>
      <c r="F4" s="40"/>
      <c r="G4" s="40"/>
      <c r="H4" s="40"/>
      <c r="I4" s="201"/>
      <c r="J4" s="185"/>
      <c r="K4" s="185"/>
      <c r="L4" s="185"/>
      <c r="M4" s="185"/>
      <c r="N4" s="185"/>
      <c r="O4" s="185"/>
      <c r="P4" s="185"/>
      <c r="Q4" s="185"/>
    </row>
    <row r="5" spans="1:55" s="201" customFormat="1" ht="12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55" s="201" customFormat="1">
      <c r="A6" s="56" t="s">
        <v>0</v>
      </c>
      <c r="B6" s="98" t="s">
        <v>1</v>
      </c>
      <c r="C6" s="98" t="s">
        <v>2</v>
      </c>
      <c r="D6" s="98" t="s">
        <v>3</v>
      </c>
      <c r="E6" s="98" t="s">
        <v>4</v>
      </c>
      <c r="F6" s="98" t="s">
        <v>5</v>
      </c>
      <c r="G6" s="98" t="s">
        <v>6</v>
      </c>
      <c r="H6" s="98" t="s">
        <v>7</v>
      </c>
      <c r="J6" s="98" t="s">
        <v>0</v>
      </c>
      <c r="K6" s="98" t="s">
        <v>1</v>
      </c>
      <c r="L6" s="98" t="s">
        <v>2</v>
      </c>
      <c r="M6" s="98" t="s">
        <v>3</v>
      </c>
      <c r="N6" s="98" t="s">
        <v>4</v>
      </c>
      <c r="O6" s="98" t="s">
        <v>5</v>
      </c>
      <c r="P6" s="98" t="s">
        <v>6</v>
      </c>
      <c r="Q6" s="98" t="s">
        <v>7</v>
      </c>
      <c r="R6" s="98" t="s">
        <v>0</v>
      </c>
      <c r="S6" s="98" t="s">
        <v>1</v>
      </c>
      <c r="T6" s="98" t="s">
        <v>2</v>
      </c>
      <c r="U6" s="98" t="s">
        <v>3</v>
      </c>
      <c r="V6" s="98" t="s">
        <v>4</v>
      </c>
      <c r="W6" s="98" t="s">
        <v>5</v>
      </c>
      <c r="X6" s="98" t="s">
        <v>6</v>
      </c>
      <c r="Y6" s="98" t="s">
        <v>7</v>
      </c>
      <c r="Z6" s="109"/>
      <c r="AA6" s="98" t="s">
        <v>0</v>
      </c>
      <c r="AB6" s="98" t="s">
        <v>1</v>
      </c>
      <c r="AC6" s="98" t="s">
        <v>2</v>
      </c>
      <c r="AD6" s="98" t="s">
        <v>3</v>
      </c>
      <c r="AE6" s="98" t="s">
        <v>4</v>
      </c>
      <c r="AF6" s="98" t="s">
        <v>5</v>
      </c>
      <c r="AG6" s="98" t="s">
        <v>6</v>
      </c>
      <c r="AH6" s="98" t="s">
        <v>7</v>
      </c>
      <c r="AI6" s="109"/>
      <c r="AJ6" s="98" t="s">
        <v>0</v>
      </c>
      <c r="AK6" s="98" t="s">
        <v>1</v>
      </c>
      <c r="AL6" s="98" t="s">
        <v>2</v>
      </c>
      <c r="AM6" s="98" t="s">
        <v>3</v>
      </c>
      <c r="AN6" s="98" t="s">
        <v>4</v>
      </c>
      <c r="AO6" s="98" t="s">
        <v>5</v>
      </c>
      <c r="AP6" s="98" t="s">
        <v>6</v>
      </c>
      <c r="AQ6" s="98" t="s">
        <v>7</v>
      </c>
      <c r="AR6" s="209"/>
      <c r="AS6" s="209"/>
      <c r="AT6" s="209"/>
      <c r="AU6" s="209"/>
      <c r="AV6" s="209"/>
      <c r="AW6" s="209"/>
      <c r="AX6" s="209"/>
      <c r="AY6" s="209"/>
      <c r="AZ6" s="209"/>
      <c r="BA6" s="209"/>
      <c r="BB6" s="209"/>
      <c r="BC6" s="209"/>
    </row>
    <row r="7" spans="1:55" s="201" customFormat="1">
      <c r="A7" s="6"/>
      <c r="B7" s="98" t="s">
        <v>8</v>
      </c>
      <c r="C7" s="98" t="s">
        <v>9</v>
      </c>
      <c r="D7" s="98" t="s">
        <v>10</v>
      </c>
      <c r="E7" s="98" t="s">
        <v>9</v>
      </c>
      <c r="F7" s="98" t="s">
        <v>9</v>
      </c>
      <c r="G7" s="98" t="s">
        <v>9</v>
      </c>
      <c r="H7" s="98" t="s">
        <v>9</v>
      </c>
      <c r="J7" s="98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8" t="s">
        <v>9</v>
      </c>
      <c r="R7" s="98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8" t="s">
        <v>9</v>
      </c>
      <c r="Z7" s="109"/>
      <c r="AA7" s="98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8" t="s">
        <v>9</v>
      </c>
      <c r="AI7" s="109"/>
      <c r="AJ7" s="98"/>
      <c r="AK7" s="98" t="s">
        <v>8</v>
      </c>
      <c r="AL7" s="98" t="s">
        <v>9</v>
      </c>
      <c r="AM7" s="98" t="s">
        <v>10</v>
      </c>
      <c r="AN7" s="98" t="s">
        <v>9</v>
      </c>
      <c r="AO7" s="98" t="s">
        <v>9</v>
      </c>
      <c r="AP7" s="98" t="s">
        <v>9</v>
      </c>
      <c r="AQ7" s="98" t="s">
        <v>9</v>
      </c>
      <c r="AR7" s="209"/>
      <c r="AS7" s="209"/>
      <c r="AT7" s="209"/>
      <c r="AU7" s="209"/>
      <c r="AV7" s="209"/>
      <c r="AW7" s="209"/>
      <c r="AX7" s="209"/>
      <c r="AY7" s="209"/>
      <c r="AZ7" s="209"/>
      <c r="BA7" s="209"/>
      <c r="BB7" s="209"/>
      <c r="BC7" s="209"/>
    </row>
    <row r="8" spans="1:55" s="115" customFormat="1">
      <c r="A8" s="480" t="s">
        <v>17</v>
      </c>
      <c r="B8" s="480"/>
      <c r="C8" s="480"/>
      <c r="D8" s="480"/>
      <c r="E8" s="480"/>
      <c r="F8" s="480"/>
      <c r="G8" s="480"/>
      <c r="H8" s="480"/>
      <c r="I8" s="201"/>
      <c r="J8" s="480" t="s">
        <v>17</v>
      </c>
      <c r="K8" s="480"/>
      <c r="L8" s="480"/>
      <c r="M8" s="480"/>
      <c r="N8" s="480"/>
      <c r="O8" s="480"/>
      <c r="P8" s="480"/>
      <c r="Q8" s="480"/>
      <c r="R8" s="480" t="s">
        <v>17</v>
      </c>
      <c r="S8" s="480"/>
      <c r="T8" s="480"/>
      <c r="U8" s="480"/>
      <c r="V8" s="480"/>
      <c r="W8" s="480"/>
      <c r="X8" s="480"/>
      <c r="Y8" s="480"/>
      <c r="Z8" s="186"/>
      <c r="AA8" s="480" t="s">
        <v>17</v>
      </c>
      <c r="AB8" s="480"/>
      <c r="AC8" s="480"/>
      <c r="AD8" s="480"/>
      <c r="AE8" s="480"/>
      <c r="AF8" s="480"/>
      <c r="AG8" s="480"/>
      <c r="AH8" s="480"/>
      <c r="AI8" s="186"/>
      <c r="AJ8" s="480" t="s">
        <v>17</v>
      </c>
      <c r="AK8" s="480"/>
      <c r="AL8" s="480"/>
      <c r="AM8" s="480"/>
      <c r="AN8" s="480"/>
      <c r="AO8" s="480"/>
      <c r="AP8" s="480"/>
      <c r="AQ8" s="480"/>
    </row>
    <row r="9" spans="1:55" s="115" customFormat="1">
      <c r="A9" s="33" t="s">
        <v>18</v>
      </c>
      <c r="B9" s="42">
        <f t="shared" ref="B9:H10" si="0">B13+B20</f>
        <v>821.4</v>
      </c>
      <c r="C9" s="33">
        <f t="shared" si="0"/>
        <v>44066</v>
      </c>
      <c r="D9" s="33">
        <f>D13+D20</f>
        <v>37041</v>
      </c>
      <c r="E9" s="33">
        <f t="shared" si="0"/>
        <v>9237</v>
      </c>
      <c r="F9" s="33">
        <f t="shared" si="0"/>
        <v>9389</v>
      </c>
      <c r="G9" s="33">
        <f>G13+G20</f>
        <v>1632</v>
      </c>
      <c r="H9" s="33">
        <f t="shared" si="0"/>
        <v>16783</v>
      </c>
      <c r="I9" s="201"/>
      <c r="J9" s="33" t="s">
        <v>18</v>
      </c>
      <c r="K9" s="42">
        <f>K13+K20</f>
        <v>224.20000000000002</v>
      </c>
      <c r="L9" s="36">
        <f t="shared" ref="L9:Q10" si="1">L13+L20</f>
        <v>8137</v>
      </c>
      <c r="M9" s="33">
        <f t="shared" si="1"/>
        <v>6418</v>
      </c>
      <c r="N9" s="33">
        <f t="shared" si="1"/>
        <v>1333</v>
      </c>
      <c r="O9" s="33">
        <f t="shared" si="1"/>
        <v>2155</v>
      </c>
      <c r="P9" s="33">
        <f t="shared" si="1"/>
        <v>291</v>
      </c>
      <c r="Q9" s="33">
        <f t="shared" si="1"/>
        <v>2639</v>
      </c>
      <c r="R9" s="33" t="s">
        <v>18</v>
      </c>
      <c r="S9" s="33">
        <f t="shared" ref="S9:Y10" si="2">S13+S20</f>
        <v>496.70000000000005</v>
      </c>
      <c r="T9" s="33">
        <f t="shared" si="2"/>
        <v>35457</v>
      </c>
      <c r="U9" s="33">
        <f>U13+U20</f>
        <v>30446</v>
      </c>
      <c r="V9" s="33">
        <f t="shared" si="2"/>
        <v>7904</v>
      </c>
      <c r="W9" s="33">
        <f t="shared" si="2"/>
        <v>7234</v>
      </c>
      <c r="X9" s="33">
        <f t="shared" si="2"/>
        <v>1341</v>
      </c>
      <c r="Y9" s="33">
        <f t="shared" si="2"/>
        <v>13967</v>
      </c>
      <c r="Z9" s="110"/>
      <c r="AA9" s="33" t="s">
        <v>18</v>
      </c>
      <c r="AB9" s="42">
        <f t="shared" ref="AB9:AH10" si="3">AB13+AB20</f>
        <v>59.900000000000006</v>
      </c>
      <c r="AC9" s="33">
        <f t="shared" si="3"/>
        <v>11839</v>
      </c>
      <c r="AD9" s="33">
        <f t="shared" si="3"/>
        <v>10343</v>
      </c>
      <c r="AE9" s="33">
        <f t="shared" si="3"/>
        <v>6734</v>
      </c>
      <c r="AF9" s="33">
        <f t="shared" si="3"/>
        <v>1792</v>
      </c>
      <c r="AG9" s="33">
        <f t="shared" si="3"/>
        <v>243</v>
      </c>
      <c r="AH9" s="33">
        <f t="shared" si="3"/>
        <v>1574</v>
      </c>
      <c r="AI9" s="110"/>
      <c r="AJ9" s="33" t="s">
        <v>18</v>
      </c>
      <c r="AK9" s="33">
        <f t="shared" ref="AK9:AQ10" si="4">AK13+AK20</f>
        <v>100.5</v>
      </c>
      <c r="AL9" s="33">
        <f t="shared" si="4"/>
        <v>472</v>
      </c>
      <c r="AM9" s="33">
        <f t="shared" si="4"/>
        <v>177</v>
      </c>
      <c r="AN9" s="33">
        <f t="shared" si="4"/>
        <v>0</v>
      </c>
      <c r="AO9" s="33">
        <f t="shared" si="4"/>
        <v>0</v>
      </c>
      <c r="AP9" s="33">
        <f t="shared" si="4"/>
        <v>0</v>
      </c>
      <c r="AQ9" s="33">
        <f t="shared" si="4"/>
        <v>177</v>
      </c>
    </row>
    <row r="10" spans="1:55" s="410" customFormat="1">
      <c r="A10" s="33" t="s">
        <v>19</v>
      </c>
      <c r="B10" s="33">
        <f t="shared" si="0"/>
        <v>759.6</v>
      </c>
      <c r="C10" s="33">
        <f t="shared" si="0"/>
        <v>48700</v>
      </c>
      <c r="D10" s="33">
        <f>D14+D21</f>
        <v>45835</v>
      </c>
      <c r="E10" s="33">
        <f t="shared" si="0"/>
        <v>6110</v>
      </c>
      <c r="F10" s="33">
        <f t="shared" si="0"/>
        <v>9026</v>
      </c>
      <c r="G10" s="33">
        <f t="shared" si="0"/>
        <v>2164</v>
      </c>
      <c r="H10" s="33">
        <f t="shared" si="0"/>
        <v>28535</v>
      </c>
      <c r="I10" s="201"/>
      <c r="J10" s="33" t="s">
        <v>19</v>
      </c>
      <c r="K10" s="42">
        <f>K14+K21</f>
        <v>252.8</v>
      </c>
      <c r="L10" s="33">
        <f t="shared" si="1"/>
        <v>12430</v>
      </c>
      <c r="M10" s="33">
        <f t="shared" si="1"/>
        <v>11631</v>
      </c>
      <c r="N10" s="33">
        <f t="shared" si="1"/>
        <v>1905</v>
      </c>
      <c r="O10" s="33">
        <f t="shared" si="1"/>
        <v>978</v>
      </c>
      <c r="P10" s="33">
        <f t="shared" si="1"/>
        <v>70</v>
      </c>
      <c r="Q10" s="33">
        <f t="shared" si="1"/>
        <v>8677</v>
      </c>
      <c r="R10" s="33" t="s">
        <v>19</v>
      </c>
      <c r="S10" s="42">
        <f t="shared" si="2"/>
        <v>467.00000000000006</v>
      </c>
      <c r="T10" s="33">
        <f t="shared" si="2"/>
        <v>34910</v>
      </c>
      <c r="U10" s="33">
        <f t="shared" si="2"/>
        <v>32881</v>
      </c>
      <c r="V10" s="33">
        <f t="shared" si="2"/>
        <v>4204</v>
      </c>
      <c r="W10" s="33">
        <f t="shared" si="2"/>
        <v>8043</v>
      </c>
      <c r="X10" s="33">
        <f t="shared" si="2"/>
        <v>2094</v>
      </c>
      <c r="Y10" s="33">
        <f t="shared" si="2"/>
        <v>18540</v>
      </c>
      <c r="Z10" s="110"/>
      <c r="AA10" s="33" t="s">
        <v>19</v>
      </c>
      <c r="AB10" s="42">
        <f t="shared" si="3"/>
        <v>52.6</v>
      </c>
      <c r="AC10" s="33">
        <f t="shared" si="3"/>
        <v>5520</v>
      </c>
      <c r="AD10" s="33">
        <f t="shared" si="3"/>
        <v>5244</v>
      </c>
      <c r="AE10" s="33">
        <f t="shared" si="3"/>
        <v>3073</v>
      </c>
      <c r="AF10" s="33">
        <f t="shared" si="3"/>
        <v>797</v>
      </c>
      <c r="AG10" s="33">
        <f t="shared" si="3"/>
        <v>171</v>
      </c>
      <c r="AH10" s="33">
        <f t="shared" si="3"/>
        <v>1203</v>
      </c>
      <c r="AI10" s="110"/>
      <c r="AJ10" s="33" t="s">
        <v>19</v>
      </c>
      <c r="AK10" s="33">
        <f>AK14+AK21</f>
        <v>39.799999999999997</v>
      </c>
      <c r="AL10" s="33">
        <f t="shared" si="4"/>
        <v>1360</v>
      </c>
      <c r="AM10" s="33">
        <f t="shared" si="4"/>
        <v>1324</v>
      </c>
      <c r="AN10" s="33">
        <f t="shared" si="4"/>
        <v>1</v>
      </c>
      <c r="AO10" s="33">
        <f t="shared" si="4"/>
        <v>5</v>
      </c>
      <c r="AP10" s="33">
        <f t="shared" si="4"/>
        <v>0</v>
      </c>
      <c r="AQ10" s="33">
        <f t="shared" si="4"/>
        <v>1318</v>
      </c>
    </row>
    <row r="11" spans="1:55" s="115" customFormat="1">
      <c r="A11" s="33" t="s">
        <v>20</v>
      </c>
      <c r="B11" s="26">
        <f t="shared" ref="B11:H11" si="5">B10/B9*100</f>
        <v>92.476260043827622</v>
      </c>
      <c r="C11" s="26">
        <f t="shared" si="5"/>
        <v>110.5160441156447</v>
      </c>
      <c r="D11" s="26">
        <f t="shared" si="5"/>
        <v>123.74125968521368</v>
      </c>
      <c r="E11" s="26">
        <f t="shared" si="5"/>
        <v>66.147017429901481</v>
      </c>
      <c r="F11" s="26">
        <f t="shared" si="5"/>
        <v>96.133773564809886</v>
      </c>
      <c r="G11" s="26">
        <f t="shared" si="5"/>
        <v>132.59803921568627</v>
      </c>
      <c r="H11" s="26">
        <f t="shared" si="5"/>
        <v>170.0232378001549</v>
      </c>
      <c r="I11" s="201"/>
      <c r="J11" s="33" t="s">
        <v>20</v>
      </c>
      <c r="K11" s="26">
        <f t="shared" ref="K11:Q11" si="6">K10/K9*100</f>
        <v>112.75646743978591</v>
      </c>
      <c r="L11" s="26">
        <f t="shared" si="6"/>
        <v>152.75900208922207</v>
      </c>
      <c r="M11" s="26">
        <f t="shared" si="6"/>
        <v>181.22468058585227</v>
      </c>
      <c r="N11" s="26">
        <f t="shared" si="6"/>
        <v>142.91072768192049</v>
      </c>
      <c r="O11" s="26">
        <f t="shared" si="6"/>
        <v>45.382830626450115</v>
      </c>
      <c r="P11" s="26">
        <f t="shared" si="6"/>
        <v>24.054982817869416</v>
      </c>
      <c r="Q11" s="26">
        <f t="shared" si="6"/>
        <v>328.79878741947704</v>
      </c>
      <c r="R11" s="33" t="s">
        <v>20</v>
      </c>
      <c r="S11" s="26">
        <f t="shared" ref="S11:Y11" si="7">S10/S9*100</f>
        <v>94.02053553452788</v>
      </c>
      <c r="T11" s="26">
        <f t="shared" si="7"/>
        <v>98.457286290436315</v>
      </c>
      <c r="U11" s="26">
        <f t="shared" si="7"/>
        <v>107.9977665374762</v>
      </c>
      <c r="V11" s="26">
        <f t="shared" si="7"/>
        <v>53.188259109311744</v>
      </c>
      <c r="W11" s="26">
        <f t="shared" si="7"/>
        <v>111.18330107824164</v>
      </c>
      <c r="X11" s="26">
        <f t="shared" si="7"/>
        <v>156.15212527964206</v>
      </c>
      <c r="Y11" s="26">
        <f t="shared" si="7"/>
        <v>132.74146201761295</v>
      </c>
      <c r="Z11" s="113"/>
      <c r="AA11" s="33" t="s">
        <v>20</v>
      </c>
      <c r="AB11" s="26">
        <f t="shared" ref="AB11:AH11" si="8">AB10/AB9*100</f>
        <v>87.813021702838057</v>
      </c>
      <c r="AC11" s="26">
        <f t="shared" si="8"/>
        <v>46.625559591181684</v>
      </c>
      <c r="AD11" s="26">
        <f t="shared" si="8"/>
        <v>50.700957169099873</v>
      </c>
      <c r="AE11" s="26">
        <f t="shared" si="8"/>
        <v>45.634095634095637</v>
      </c>
      <c r="AF11" s="26">
        <f t="shared" si="8"/>
        <v>44.475446428571431</v>
      </c>
      <c r="AG11" s="26">
        <f t="shared" si="8"/>
        <v>70.370370370370367</v>
      </c>
      <c r="AH11" s="26">
        <f t="shared" si="8"/>
        <v>76.429479034307505</v>
      </c>
      <c r="AI11" s="113"/>
      <c r="AJ11" s="33" t="s">
        <v>20</v>
      </c>
      <c r="AK11" s="26">
        <f>AK10/AK9*100</f>
        <v>39.601990049751237</v>
      </c>
      <c r="AL11" s="26">
        <f>AL10/AL9*100</f>
        <v>288.13559322033899</v>
      </c>
      <c r="AM11" s="26">
        <f>AM10/AM9*100</f>
        <v>748.02259887005653</v>
      </c>
      <c r="AN11" s="26">
        <v>0</v>
      </c>
      <c r="AO11" s="26" t="e">
        <f>AO10/AO9*100</f>
        <v>#DIV/0!</v>
      </c>
      <c r="AP11" s="26" t="e">
        <f>AP10/AP9*100</f>
        <v>#DIV/0!</v>
      </c>
      <c r="AQ11" s="26">
        <f>AQ10/AQ9*100</f>
        <v>744.63276836158195</v>
      </c>
    </row>
    <row r="12" spans="1:55" s="201" customFormat="1" ht="12.75" customHeight="1">
      <c r="A12" s="474" t="s">
        <v>11</v>
      </c>
      <c r="B12" s="514"/>
      <c r="C12" s="514"/>
      <c r="D12" s="514"/>
      <c r="E12" s="514"/>
      <c r="F12" s="514"/>
      <c r="G12" s="514"/>
      <c r="H12" s="514"/>
      <c r="J12" s="474" t="s">
        <v>11</v>
      </c>
      <c r="K12" s="474"/>
      <c r="L12" s="474"/>
      <c r="M12" s="474"/>
      <c r="N12" s="474"/>
      <c r="O12" s="474"/>
      <c r="P12" s="474"/>
      <c r="Q12" s="474"/>
      <c r="R12" s="474" t="s">
        <v>11</v>
      </c>
      <c r="S12" s="474"/>
      <c r="T12" s="474"/>
      <c r="U12" s="474"/>
      <c r="V12" s="474"/>
      <c r="W12" s="474"/>
      <c r="X12" s="474"/>
      <c r="Y12" s="474"/>
      <c r="Z12" s="296"/>
      <c r="AA12" s="474" t="s">
        <v>11</v>
      </c>
      <c r="AB12" s="474"/>
      <c r="AC12" s="474"/>
      <c r="AD12" s="474"/>
      <c r="AE12" s="474"/>
      <c r="AF12" s="474"/>
      <c r="AG12" s="474"/>
      <c r="AH12" s="474"/>
      <c r="AI12" s="296"/>
      <c r="AJ12" s="474" t="s">
        <v>11</v>
      </c>
      <c r="AK12" s="474"/>
      <c r="AL12" s="474"/>
      <c r="AM12" s="474"/>
      <c r="AN12" s="474"/>
      <c r="AO12" s="474"/>
      <c r="AP12" s="474"/>
      <c r="AQ12" s="474"/>
    </row>
    <row r="13" spans="1:55" s="201" customFormat="1">
      <c r="A13" s="248" t="s">
        <v>18</v>
      </c>
      <c r="B13" s="6">
        <f>K13+S13+AK13</f>
        <v>65</v>
      </c>
      <c r="C13" s="6">
        <f>L13+T13+AL13</f>
        <v>3616</v>
      </c>
      <c r="D13" s="6">
        <f>E13+F13+G13+H13</f>
        <v>2646</v>
      </c>
      <c r="E13" s="6">
        <f t="shared" ref="E13:H14" si="9">N13+V13+AN13</f>
        <v>901</v>
      </c>
      <c r="F13" s="6">
        <f t="shared" si="9"/>
        <v>923</v>
      </c>
      <c r="G13" s="6">
        <f t="shared" si="9"/>
        <v>103</v>
      </c>
      <c r="H13" s="6">
        <f t="shared" si="9"/>
        <v>719</v>
      </c>
      <c r="J13" s="248" t="s">
        <v>18</v>
      </c>
      <c r="K13" s="6">
        <v>49</v>
      </c>
      <c r="L13" s="6">
        <v>2367</v>
      </c>
      <c r="M13" s="6">
        <v>1708</v>
      </c>
      <c r="N13" s="6">
        <v>479</v>
      </c>
      <c r="O13" s="6">
        <v>722</v>
      </c>
      <c r="P13" s="6">
        <v>76</v>
      </c>
      <c r="Q13" s="6">
        <v>431</v>
      </c>
      <c r="R13" s="248" t="s">
        <v>18</v>
      </c>
      <c r="S13" s="6">
        <v>16</v>
      </c>
      <c r="T13" s="6">
        <v>1249</v>
      </c>
      <c r="U13" s="6">
        <v>938</v>
      </c>
      <c r="V13" s="6">
        <v>422</v>
      </c>
      <c r="W13" s="6">
        <v>201</v>
      </c>
      <c r="X13" s="6">
        <v>27</v>
      </c>
      <c r="Y13" s="6">
        <v>288</v>
      </c>
      <c r="Z13" s="1"/>
      <c r="AA13" s="248" t="s">
        <v>18</v>
      </c>
      <c r="AB13" s="6">
        <v>16</v>
      </c>
      <c r="AC13" s="6">
        <v>1249</v>
      </c>
      <c r="AD13" s="6">
        <v>938</v>
      </c>
      <c r="AE13" s="6">
        <v>422</v>
      </c>
      <c r="AF13" s="6">
        <v>201</v>
      </c>
      <c r="AG13" s="6">
        <v>27</v>
      </c>
      <c r="AH13" s="6">
        <v>288</v>
      </c>
      <c r="AI13" s="1"/>
      <c r="AJ13" s="248" t="s">
        <v>18</v>
      </c>
      <c r="AK13" s="6"/>
      <c r="AL13" s="6"/>
      <c r="AM13" s="6"/>
      <c r="AN13" s="6"/>
      <c r="AO13" s="6"/>
      <c r="AP13" s="6"/>
      <c r="AQ13" s="6"/>
    </row>
    <row r="14" spans="1:55" s="260" customFormat="1">
      <c r="A14" s="248" t="s">
        <v>19</v>
      </c>
      <c r="B14" s="6">
        <f>K14+S14+AK14</f>
        <v>116.60000000000001</v>
      </c>
      <c r="C14" s="6">
        <f>L14+T14+AL14</f>
        <v>5630</v>
      </c>
      <c r="D14" s="6">
        <f>E14+F14+G14+H14</f>
        <v>5283</v>
      </c>
      <c r="E14" s="6">
        <f t="shared" si="9"/>
        <v>302</v>
      </c>
      <c r="F14" s="6">
        <f t="shared" si="9"/>
        <v>266</v>
      </c>
      <c r="G14" s="6">
        <f t="shared" si="9"/>
        <v>7</v>
      </c>
      <c r="H14" s="6">
        <f t="shared" si="9"/>
        <v>4708</v>
      </c>
      <c r="I14" s="201"/>
      <c r="J14" s="248" t="s">
        <v>19</v>
      </c>
      <c r="K14" s="6">
        <v>55.7</v>
      </c>
      <c r="L14" s="6">
        <v>3150</v>
      </c>
      <c r="M14" s="6">
        <v>2960</v>
      </c>
      <c r="N14" s="6">
        <v>110</v>
      </c>
      <c r="O14" s="6">
        <v>113</v>
      </c>
      <c r="P14" s="6">
        <v>6</v>
      </c>
      <c r="Q14" s="6">
        <v>2730</v>
      </c>
      <c r="R14" s="248" t="s">
        <v>19</v>
      </c>
      <c r="S14" s="6">
        <v>21.1</v>
      </c>
      <c r="T14" s="6">
        <v>1120</v>
      </c>
      <c r="U14" s="6">
        <v>1000</v>
      </c>
      <c r="V14" s="6">
        <v>191</v>
      </c>
      <c r="W14" s="6">
        <v>148</v>
      </c>
      <c r="X14" s="6">
        <v>1</v>
      </c>
      <c r="Y14" s="6">
        <v>660</v>
      </c>
      <c r="Z14" s="1"/>
      <c r="AA14" s="248" t="s">
        <v>19</v>
      </c>
      <c r="AB14" s="6">
        <v>21.1</v>
      </c>
      <c r="AC14" s="6">
        <v>1120</v>
      </c>
      <c r="AD14" s="6">
        <v>1000</v>
      </c>
      <c r="AE14" s="6">
        <v>191</v>
      </c>
      <c r="AF14" s="6">
        <v>148</v>
      </c>
      <c r="AG14" s="6">
        <v>1</v>
      </c>
      <c r="AH14" s="6">
        <v>660</v>
      </c>
      <c r="AI14" s="1"/>
      <c r="AJ14" s="248" t="s">
        <v>19</v>
      </c>
      <c r="AK14" s="6">
        <v>39.799999999999997</v>
      </c>
      <c r="AL14" s="6">
        <v>1360</v>
      </c>
      <c r="AM14" s="6">
        <v>1324</v>
      </c>
      <c r="AN14" s="6">
        <v>1</v>
      </c>
      <c r="AO14" s="6">
        <v>5</v>
      </c>
      <c r="AP14" s="6"/>
      <c r="AQ14" s="6">
        <v>1318</v>
      </c>
    </row>
    <row r="15" spans="1:55" s="201" customFormat="1">
      <c r="A15" s="248" t="s">
        <v>20</v>
      </c>
      <c r="B15" s="26">
        <f t="shared" ref="B15:H15" si="10">B14/B13*100</f>
        <v>179.38461538461539</v>
      </c>
      <c r="C15" s="26">
        <f t="shared" si="10"/>
        <v>155.69690265486727</v>
      </c>
      <c r="D15" s="26">
        <f t="shared" si="10"/>
        <v>199.65986394557825</v>
      </c>
      <c r="E15" s="26">
        <f t="shared" si="10"/>
        <v>33.518312985571583</v>
      </c>
      <c r="F15" s="26">
        <f t="shared" si="10"/>
        <v>28.819068255687974</v>
      </c>
      <c r="G15" s="26">
        <f t="shared" si="10"/>
        <v>6.7961165048543686</v>
      </c>
      <c r="H15" s="26">
        <f t="shared" si="10"/>
        <v>654.79833101529903</v>
      </c>
      <c r="J15" s="248" t="s">
        <v>20</v>
      </c>
      <c r="K15" s="26">
        <f t="shared" ref="K15:Q15" si="11">K14/K13*100</f>
        <v>113.67346938775511</v>
      </c>
      <c r="L15" s="26">
        <f t="shared" si="11"/>
        <v>133.07984790874525</v>
      </c>
      <c r="M15" s="26">
        <f t="shared" si="11"/>
        <v>173.30210772833723</v>
      </c>
      <c r="N15" s="26">
        <f t="shared" si="11"/>
        <v>22.964509394572026</v>
      </c>
      <c r="O15" s="26">
        <f t="shared" si="11"/>
        <v>15.650969529085874</v>
      </c>
      <c r="P15" s="26">
        <f t="shared" si="11"/>
        <v>7.8947368421052628</v>
      </c>
      <c r="Q15" s="26">
        <f t="shared" si="11"/>
        <v>633.41067285382837</v>
      </c>
      <c r="R15" s="248" t="s">
        <v>20</v>
      </c>
      <c r="S15" s="26">
        <f t="shared" ref="S15:Y15" si="12">S14/S13*100</f>
        <v>131.875</v>
      </c>
      <c r="T15" s="26">
        <f t="shared" si="12"/>
        <v>89.671737389911925</v>
      </c>
      <c r="U15" s="26">
        <f t="shared" si="12"/>
        <v>106.60980810234541</v>
      </c>
      <c r="V15" s="26">
        <f t="shared" si="12"/>
        <v>45.260663507109008</v>
      </c>
      <c r="W15" s="26">
        <f t="shared" si="12"/>
        <v>73.631840796019901</v>
      </c>
      <c r="X15" s="26">
        <f t="shared" si="12"/>
        <v>3.7037037037037033</v>
      </c>
      <c r="Y15" s="26">
        <f t="shared" si="12"/>
        <v>229.16666666666666</v>
      </c>
      <c r="Z15" s="113"/>
      <c r="AA15" s="248" t="s">
        <v>20</v>
      </c>
      <c r="AB15" s="26">
        <f t="shared" ref="AB15:AH15" si="13">AB14/AB13*100</f>
        <v>131.875</v>
      </c>
      <c r="AC15" s="26">
        <f t="shared" si="13"/>
        <v>89.671737389911925</v>
      </c>
      <c r="AD15" s="26">
        <f t="shared" si="13"/>
        <v>106.60980810234541</v>
      </c>
      <c r="AE15" s="26">
        <f t="shared" si="13"/>
        <v>45.260663507109008</v>
      </c>
      <c r="AF15" s="26">
        <f t="shared" si="13"/>
        <v>73.631840796019901</v>
      </c>
      <c r="AG15" s="26">
        <f t="shared" si="13"/>
        <v>3.7037037037037033</v>
      </c>
      <c r="AH15" s="26">
        <f t="shared" si="13"/>
        <v>229.16666666666666</v>
      </c>
      <c r="AI15" s="113"/>
      <c r="AJ15" s="248" t="s">
        <v>20</v>
      </c>
      <c r="AK15" s="26" t="e">
        <f>AK14/AK13*100</f>
        <v>#DIV/0!</v>
      </c>
      <c r="AL15" s="26" t="e">
        <f>AL14/AL13*100</f>
        <v>#DIV/0!</v>
      </c>
      <c r="AM15" s="26" t="e">
        <f>AM14/AM13*100</f>
        <v>#DIV/0!</v>
      </c>
      <c r="AN15" s="26">
        <v>0</v>
      </c>
      <c r="AO15" s="26" t="e">
        <f>AO14/AO13*100</f>
        <v>#DIV/0!</v>
      </c>
      <c r="AP15" s="26" t="e">
        <f>AP14/AP13*100</f>
        <v>#DIV/0!</v>
      </c>
      <c r="AQ15" s="26" t="e">
        <f>AQ14/AQ13*100</f>
        <v>#DIV/0!</v>
      </c>
    </row>
    <row r="16" spans="1:55" s="230" customFormat="1">
      <c r="A16" s="6" t="s">
        <v>13</v>
      </c>
      <c r="B16" s="6">
        <f t="shared" ref="B16:C18" si="14">K16+S16+AK16</f>
        <v>0</v>
      </c>
      <c r="C16" s="6">
        <f t="shared" si="14"/>
        <v>0</v>
      </c>
      <c r="D16" s="6">
        <f>E16+F16+G16+H16</f>
        <v>0</v>
      </c>
      <c r="E16" s="6">
        <f t="shared" ref="E16:H18" si="15">N16+V16+AN16</f>
        <v>0</v>
      </c>
      <c r="F16" s="6">
        <f t="shared" si="15"/>
        <v>0</v>
      </c>
      <c r="G16" s="6">
        <f t="shared" si="15"/>
        <v>0</v>
      </c>
      <c r="H16" s="6">
        <f t="shared" si="15"/>
        <v>0</v>
      </c>
      <c r="I16" s="201"/>
      <c r="J16" s="6" t="s">
        <v>13</v>
      </c>
      <c r="K16" s="437"/>
      <c r="L16" s="438"/>
      <c r="M16" s="439"/>
      <c r="N16" s="440"/>
      <c r="O16" s="440"/>
      <c r="P16" s="440"/>
      <c r="Q16" s="438"/>
      <c r="R16" s="6" t="s">
        <v>13</v>
      </c>
      <c r="S16" s="6"/>
      <c r="T16" s="6"/>
      <c r="U16" s="6"/>
      <c r="V16" s="6"/>
      <c r="W16" s="6"/>
      <c r="X16" s="6"/>
      <c r="Y16" s="6"/>
      <c r="Z16" s="1"/>
      <c r="AA16" s="6" t="s">
        <v>13</v>
      </c>
      <c r="AB16" s="6"/>
      <c r="AC16" s="6"/>
      <c r="AD16" s="6"/>
      <c r="AE16" s="6"/>
      <c r="AF16" s="6"/>
      <c r="AG16" s="6"/>
      <c r="AH16" s="6"/>
      <c r="AI16" s="1"/>
      <c r="AJ16" s="6" t="s">
        <v>13</v>
      </c>
      <c r="AK16" s="6"/>
      <c r="AL16" s="6"/>
      <c r="AM16" s="6"/>
      <c r="AN16" s="6"/>
      <c r="AO16" s="6"/>
      <c r="AP16" s="6"/>
      <c r="AQ16" s="6"/>
    </row>
    <row r="17" spans="1:43" s="230" customFormat="1">
      <c r="A17" s="6" t="s">
        <v>14</v>
      </c>
      <c r="B17" s="6">
        <f t="shared" si="14"/>
        <v>3.1</v>
      </c>
      <c r="C17" s="6">
        <f t="shared" si="14"/>
        <v>130</v>
      </c>
      <c r="D17" s="6">
        <f>E17+F17+G17+H17</f>
        <v>121</v>
      </c>
      <c r="E17" s="6">
        <f t="shared" si="15"/>
        <v>0</v>
      </c>
      <c r="F17" s="6">
        <f t="shared" si="15"/>
        <v>0</v>
      </c>
      <c r="G17" s="6">
        <f t="shared" si="15"/>
        <v>5</v>
      </c>
      <c r="H17" s="6">
        <f t="shared" si="15"/>
        <v>116</v>
      </c>
      <c r="I17" s="201"/>
      <c r="J17" s="6" t="s">
        <v>14</v>
      </c>
      <c r="K17" s="437">
        <v>3.1</v>
      </c>
      <c r="L17" s="438">
        <v>130</v>
      </c>
      <c r="M17" s="439">
        <v>121</v>
      </c>
      <c r="N17" s="440"/>
      <c r="O17" s="440"/>
      <c r="P17" s="440">
        <v>5</v>
      </c>
      <c r="Q17" s="438">
        <v>116</v>
      </c>
      <c r="R17" s="6" t="s">
        <v>14</v>
      </c>
      <c r="S17" s="6"/>
      <c r="T17" s="6"/>
      <c r="U17" s="6"/>
      <c r="V17" s="6"/>
      <c r="W17" s="6"/>
      <c r="X17" s="6"/>
      <c r="Y17" s="6"/>
      <c r="Z17" s="1"/>
      <c r="AA17" s="6" t="s">
        <v>14</v>
      </c>
      <c r="AB17" s="6"/>
      <c r="AC17" s="6"/>
      <c r="AD17" s="6"/>
      <c r="AE17" s="6"/>
      <c r="AF17" s="6"/>
      <c r="AG17" s="6"/>
      <c r="AH17" s="6"/>
      <c r="AI17" s="1"/>
      <c r="AJ17" s="6" t="s">
        <v>14</v>
      </c>
      <c r="AK17" s="6"/>
      <c r="AL17" s="6"/>
      <c r="AM17" s="6"/>
      <c r="AN17" s="6"/>
      <c r="AO17" s="6"/>
      <c r="AP17" s="6"/>
      <c r="AQ17" s="6"/>
    </row>
    <row r="18" spans="1:43" s="201" customFormat="1">
      <c r="A18" s="6" t="s">
        <v>15</v>
      </c>
      <c r="B18" s="6">
        <f t="shared" si="14"/>
        <v>0</v>
      </c>
      <c r="C18" s="6">
        <f t="shared" si="14"/>
        <v>0</v>
      </c>
      <c r="D18" s="6">
        <f>E18+F18+G18+H18</f>
        <v>0</v>
      </c>
      <c r="E18" s="6">
        <f t="shared" si="15"/>
        <v>0</v>
      </c>
      <c r="F18" s="6">
        <f t="shared" si="15"/>
        <v>0</v>
      </c>
      <c r="G18" s="6">
        <f t="shared" si="15"/>
        <v>0</v>
      </c>
      <c r="H18" s="6">
        <f t="shared" si="15"/>
        <v>0</v>
      </c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s="201" customFormat="1" ht="12.75" customHeight="1">
      <c r="A19" s="474" t="s">
        <v>16</v>
      </c>
      <c r="B19" s="514"/>
      <c r="C19" s="514"/>
      <c r="D19" s="514"/>
      <c r="E19" s="514"/>
      <c r="F19" s="514"/>
      <c r="G19" s="514"/>
      <c r="H19" s="514"/>
      <c r="J19" s="474" t="s">
        <v>16</v>
      </c>
      <c r="K19" s="474"/>
      <c r="L19" s="474"/>
      <c r="M19" s="474"/>
      <c r="N19" s="474"/>
      <c r="O19" s="474"/>
      <c r="P19" s="474"/>
      <c r="Q19" s="474"/>
      <c r="R19" s="474" t="s">
        <v>16</v>
      </c>
      <c r="S19" s="474"/>
      <c r="T19" s="474"/>
      <c r="U19" s="474"/>
      <c r="V19" s="474"/>
      <c r="W19" s="474"/>
      <c r="X19" s="474"/>
      <c r="Y19" s="474"/>
      <c r="Z19" s="296"/>
      <c r="AA19" s="474" t="s">
        <v>16</v>
      </c>
      <c r="AB19" s="474"/>
      <c r="AC19" s="474"/>
      <c r="AD19" s="474"/>
      <c r="AE19" s="474"/>
      <c r="AF19" s="474"/>
      <c r="AG19" s="474"/>
      <c r="AH19" s="474"/>
      <c r="AI19" s="296"/>
      <c r="AJ19" s="474" t="s">
        <v>16</v>
      </c>
      <c r="AK19" s="474"/>
      <c r="AL19" s="474"/>
      <c r="AM19" s="474"/>
      <c r="AN19" s="474"/>
      <c r="AO19" s="474"/>
      <c r="AP19" s="474"/>
      <c r="AQ19" s="474"/>
    </row>
    <row r="20" spans="1:43" s="201" customFormat="1">
      <c r="A20" s="248" t="s">
        <v>18</v>
      </c>
      <c r="B20" s="27">
        <f>B23+B26+B29+B32+B35+B38</f>
        <v>756.4</v>
      </c>
      <c r="C20" s="6">
        <f t="shared" ref="C20:H20" si="16">L20+T20+AL20</f>
        <v>40450</v>
      </c>
      <c r="D20" s="26">
        <f t="shared" si="16"/>
        <v>34395</v>
      </c>
      <c r="E20" s="6">
        <f t="shared" si="16"/>
        <v>8336</v>
      </c>
      <c r="F20" s="6">
        <f t="shared" si="16"/>
        <v>8466</v>
      </c>
      <c r="G20" s="6">
        <f t="shared" si="16"/>
        <v>1529</v>
      </c>
      <c r="H20" s="6">
        <f t="shared" si="16"/>
        <v>16064</v>
      </c>
      <c r="J20" s="248" t="s">
        <v>18</v>
      </c>
      <c r="K20" s="27">
        <f>K23+K26+K29+K32+K35+K38</f>
        <v>175.20000000000002</v>
      </c>
      <c r="L20" s="26">
        <f>L23+L26+L29+L32+L35+L38</f>
        <v>5770</v>
      </c>
      <c r="M20" s="26">
        <f t="shared" ref="L20:Q21" si="17">M23+M26+M29+M32+M35+M38</f>
        <v>4710</v>
      </c>
      <c r="N20" s="26">
        <f t="shared" si="17"/>
        <v>854</v>
      </c>
      <c r="O20" s="26">
        <f t="shared" si="17"/>
        <v>1433</v>
      </c>
      <c r="P20" s="26">
        <f t="shared" si="17"/>
        <v>215</v>
      </c>
      <c r="Q20" s="26">
        <f t="shared" si="17"/>
        <v>2208</v>
      </c>
      <c r="R20" s="248" t="s">
        <v>18</v>
      </c>
      <c r="S20" s="27">
        <f t="shared" ref="S20:Y21" si="18">S23+S26+S29+S32+S35+S38</f>
        <v>480.70000000000005</v>
      </c>
      <c r="T20" s="6">
        <f>T23+T26+T29+T32+T35+T38</f>
        <v>34208</v>
      </c>
      <c r="U20" s="6">
        <f>U23+U26+U29+U32+U35+U38</f>
        <v>29508</v>
      </c>
      <c r="V20" s="6">
        <f t="shared" si="18"/>
        <v>7482</v>
      </c>
      <c r="W20" s="6">
        <f t="shared" si="18"/>
        <v>7033</v>
      </c>
      <c r="X20" s="6">
        <f t="shared" si="18"/>
        <v>1314</v>
      </c>
      <c r="Y20" s="6">
        <f t="shared" si="18"/>
        <v>13679</v>
      </c>
      <c r="Z20" s="1"/>
      <c r="AA20" s="248" t="s">
        <v>18</v>
      </c>
      <c r="AB20" s="27">
        <f t="shared" ref="AB20:AH21" si="19">AB23+AB26+AB29+AB32+AB35+AB38</f>
        <v>43.900000000000006</v>
      </c>
      <c r="AC20" s="27">
        <f t="shared" si="19"/>
        <v>10590</v>
      </c>
      <c r="AD20" s="27">
        <f t="shared" si="19"/>
        <v>9405</v>
      </c>
      <c r="AE20" s="27">
        <f t="shared" si="19"/>
        <v>6312</v>
      </c>
      <c r="AF20" s="27">
        <f t="shared" si="19"/>
        <v>1591</v>
      </c>
      <c r="AG20" s="27">
        <f t="shared" si="19"/>
        <v>216</v>
      </c>
      <c r="AH20" s="27">
        <f t="shared" si="19"/>
        <v>1286</v>
      </c>
      <c r="AI20" s="1"/>
      <c r="AJ20" s="248" t="s">
        <v>18</v>
      </c>
      <c r="AK20" s="6">
        <f>AK23+AK26+AK29+AK32+AK35+AK38</f>
        <v>100.5</v>
      </c>
      <c r="AL20" s="6">
        <f t="shared" ref="AK20:AQ21" si="20">AL23+AL26+AL29+AL32+AL35+AL38</f>
        <v>472</v>
      </c>
      <c r="AM20" s="6">
        <f t="shared" si="20"/>
        <v>177</v>
      </c>
      <c r="AN20" s="6">
        <f t="shared" si="20"/>
        <v>0</v>
      </c>
      <c r="AO20" s="6">
        <f t="shared" si="20"/>
        <v>0</v>
      </c>
      <c r="AP20" s="6">
        <f t="shared" si="20"/>
        <v>0</v>
      </c>
      <c r="AQ20" s="6">
        <f t="shared" si="20"/>
        <v>177</v>
      </c>
    </row>
    <row r="21" spans="1:43" s="260" customFormat="1">
      <c r="A21" s="248" t="s">
        <v>19</v>
      </c>
      <c r="B21" s="27">
        <f>B24+B27+B30+B33+B36+B39</f>
        <v>643</v>
      </c>
      <c r="C21" s="6">
        <f t="shared" ref="C21:H21" si="21">C24+C27+C30+C33+C36+C39</f>
        <v>43070</v>
      </c>
      <c r="D21" s="6">
        <f>D24+D27+D30+D33+D36+D39</f>
        <v>40552</v>
      </c>
      <c r="E21" s="6">
        <f t="shared" si="21"/>
        <v>5808</v>
      </c>
      <c r="F21" s="6">
        <f t="shared" si="21"/>
        <v>8760</v>
      </c>
      <c r="G21" s="6">
        <f t="shared" si="21"/>
        <v>2157</v>
      </c>
      <c r="H21" s="6">
        <f t="shared" si="21"/>
        <v>23827</v>
      </c>
      <c r="I21" s="201"/>
      <c r="J21" s="248" t="s">
        <v>19</v>
      </c>
      <c r="K21" s="27">
        <f>K24+K27+K30+K33+K36+K39</f>
        <v>197.10000000000002</v>
      </c>
      <c r="L21" s="6">
        <f t="shared" si="17"/>
        <v>9280</v>
      </c>
      <c r="M21" s="6">
        <f t="shared" si="17"/>
        <v>8671</v>
      </c>
      <c r="N21" s="6">
        <f t="shared" si="17"/>
        <v>1795</v>
      </c>
      <c r="O21" s="6">
        <f t="shared" si="17"/>
        <v>865</v>
      </c>
      <c r="P21" s="6">
        <f t="shared" si="17"/>
        <v>64</v>
      </c>
      <c r="Q21" s="6">
        <f t="shared" si="17"/>
        <v>5947</v>
      </c>
      <c r="R21" s="248" t="s">
        <v>19</v>
      </c>
      <c r="S21" s="27">
        <f>S24+S27+S30+S33+S36+S39</f>
        <v>445.90000000000003</v>
      </c>
      <c r="T21" s="6">
        <f t="shared" si="18"/>
        <v>33790</v>
      </c>
      <c r="U21" s="6">
        <f>U24+U27+U30+U33+U36+U39</f>
        <v>31881</v>
      </c>
      <c r="V21" s="6">
        <f t="shared" si="18"/>
        <v>4013</v>
      </c>
      <c r="W21" s="6">
        <f t="shared" si="18"/>
        <v>7895</v>
      </c>
      <c r="X21" s="6">
        <f t="shared" si="18"/>
        <v>2093</v>
      </c>
      <c r="Y21" s="6">
        <f t="shared" si="18"/>
        <v>17880</v>
      </c>
      <c r="Z21" s="1"/>
      <c r="AA21" s="248" t="s">
        <v>19</v>
      </c>
      <c r="AB21" s="27">
        <f t="shared" si="19"/>
        <v>31.5</v>
      </c>
      <c r="AC21" s="6">
        <f t="shared" si="19"/>
        <v>4400</v>
      </c>
      <c r="AD21" s="6">
        <f t="shared" si="19"/>
        <v>4244</v>
      </c>
      <c r="AE21" s="6">
        <f t="shared" si="19"/>
        <v>2882</v>
      </c>
      <c r="AF21" s="6">
        <f t="shared" si="19"/>
        <v>649</v>
      </c>
      <c r="AG21" s="6">
        <f t="shared" si="19"/>
        <v>170</v>
      </c>
      <c r="AH21" s="6">
        <f t="shared" si="19"/>
        <v>543</v>
      </c>
      <c r="AI21" s="1"/>
      <c r="AJ21" s="248" t="s">
        <v>19</v>
      </c>
      <c r="AK21" s="6">
        <f t="shared" si="20"/>
        <v>0</v>
      </c>
      <c r="AL21" s="6">
        <f t="shared" si="20"/>
        <v>0</v>
      </c>
      <c r="AM21" s="6">
        <f t="shared" si="20"/>
        <v>0</v>
      </c>
      <c r="AN21" s="6">
        <f t="shared" si="20"/>
        <v>0</v>
      </c>
      <c r="AO21" s="6">
        <f t="shared" si="20"/>
        <v>0</v>
      </c>
      <c r="AP21" s="6">
        <f t="shared" si="20"/>
        <v>0</v>
      </c>
      <c r="AQ21" s="6">
        <f t="shared" si="20"/>
        <v>0</v>
      </c>
    </row>
    <row r="22" spans="1:43" s="201" customFormat="1">
      <c r="A22" s="248" t="s">
        <v>20</v>
      </c>
      <c r="B22" s="26">
        <f t="shared" ref="B22:H22" si="22">B21/B20*100</f>
        <v>85.007932310946586</v>
      </c>
      <c r="C22" s="26">
        <f t="shared" si="22"/>
        <v>106.47713226205191</v>
      </c>
      <c r="D22" s="26">
        <f t="shared" si="22"/>
        <v>117.90085768280274</v>
      </c>
      <c r="E22" s="26">
        <f t="shared" si="22"/>
        <v>69.673704414587334</v>
      </c>
      <c r="F22" s="26">
        <f t="shared" si="22"/>
        <v>103.47271438695959</v>
      </c>
      <c r="G22" s="26">
        <f t="shared" si="22"/>
        <v>141.07259646827993</v>
      </c>
      <c r="H22" s="26">
        <f t="shared" si="22"/>
        <v>148.32544820717132</v>
      </c>
      <c r="J22" s="248" t="s">
        <v>20</v>
      </c>
      <c r="K22" s="26">
        <f t="shared" ref="K22:Q22" si="23">K21/K20*100</f>
        <v>112.5</v>
      </c>
      <c r="L22" s="26">
        <f t="shared" si="23"/>
        <v>160.83188908145581</v>
      </c>
      <c r="M22" s="26">
        <f t="shared" si="23"/>
        <v>184.09766454352442</v>
      </c>
      <c r="N22" s="26">
        <f t="shared" si="23"/>
        <v>210.18735362997657</v>
      </c>
      <c r="O22" s="26">
        <f t="shared" si="23"/>
        <v>60.362875087229583</v>
      </c>
      <c r="P22" s="26">
        <f t="shared" si="23"/>
        <v>29.767441860465116</v>
      </c>
      <c r="Q22" s="26">
        <f t="shared" si="23"/>
        <v>269.33876811594206</v>
      </c>
      <c r="R22" s="248" t="s">
        <v>20</v>
      </c>
      <c r="S22" s="26">
        <f t="shared" ref="S22:Y22" si="24">S21/S20*100</f>
        <v>92.760557520282916</v>
      </c>
      <c r="T22" s="26">
        <f t="shared" si="24"/>
        <v>98.778063610851262</v>
      </c>
      <c r="U22" s="26">
        <f t="shared" si="24"/>
        <v>108.04188694591296</v>
      </c>
      <c r="V22" s="26">
        <f t="shared" si="24"/>
        <v>53.635391606522319</v>
      </c>
      <c r="W22" s="26">
        <f t="shared" si="24"/>
        <v>112.25650504763259</v>
      </c>
      <c r="X22" s="26">
        <f t="shared" si="24"/>
        <v>159.28462709284628</v>
      </c>
      <c r="Y22" s="26">
        <f t="shared" si="24"/>
        <v>130.71130930623585</v>
      </c>
      <c r="Z22" s="113"/>
      <c r="AA22" s="248" t="s">
        <v>20</v>
      </c>
      <c r="AB22" s="26">
        <f t="shared" ref="AB22:AH22" si="25">AB21/AB20*100</f>
        <v>71.75398633257403</v>
      </c>
      <c r="AC22" s="26">
        <f t="shared" si="25"/>
        <v>41.548630783758263</v>
      </c>
      <c r="AD22" s="26">
        <f t="shared" si="25"/>
        <v>45.124933545986181</v>
      </c>
      <c r="AE22" s="26">
        <f t="shared" si="25"/>
        <v>45.659062103929024</v>
      </c>
      <c r="AF22" s="26">
        <f t="shared" si="25"/>
        <v>40.791954745443114</v>
      </c>
      <c r="AG22" s="26">
        <f t="shared" si="25"/>
        <v>78.703703703703709</v>
      </c>
      <c r="AH22" s="26">
        <f t="shared" si="25"/>
        <v>42.223950233281492</v>
      </c>
      <c r="AI22" s="113"/>
      <c r="AJ22" s="248" t="s">
        <v>20</v>
      </c>
      <c r="AK22" s="26">
        <f>AK21/AK20*100</f>
        <v>0</v>
      </c>
      <c r="AL22" s="26">
        <f>AL21/AL20*100</f>
        <v>0</v>
      </c>
      <c r="AM22" s="26">
        <f>AM21/AM20*100</f>
        <v>0</v>
      </c>
      <c r="AN22" s="26">
        <v>0</v>
      </c>
      <c r="AO22" s="26" t="e">
        <f>AO21/AO20*100</f>
        <v>#DIV/0!</v>
      </c>
      <c r="AP22" s="26" t="e">
        <f>AP21/AP20*100</f>
        <v>#DIV/0!</v>
      </c>
      <c r="AQ22" s="26">
        <f>AQ21/AQ20*100</f>
        <v>0</v>
      </c>
    </row>
    <row r="23" spans="1:43" s="201" customFormat="1">
      <c r="A23" s="6" t="s">
        <v>21</v>
      </c>
      <c r="B23" s="27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J23" s="6" t="s">
        <v>21</v>
      </c>
      <c r="K23" s="6"/>
      <c r="L23" s="6"/>
      <c r="M23" s="6">
        <f>N23+O23+P23+Q23</f>
        <v>0</v>
      </c>
      <c r="N23" s="6"/>
      <c r="O23" s="6"/>
      <c r="P23" s="6"/>
      <c r="Q23" s="6"/>
      <c r="R23" s="6" t="s">
        <v>21</v>
      </c>
      <c r="S23" s="6"/>
      <c r="T23" s="6"/>
      <c r="U23" s="6">
        <f>V23+W23+X23+Y23</f>
        <v>0</v>
      </c>
      <c r="V23" s="6"/>
      <c r="W23" s="6"/>
      <c r="X23" s="6"/>
      <c r="Y23" s="6"/>
      <c r="Z23" s="1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I23" s="1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 s="201" customFormat="1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J24" s="6" t="s">
        <v>22</v>
      </c>
      <c r="K24" s="6"/>
      <c r="L24" s="6"/>
      <c r="M24" s="6">
        <f>N24+O24+P24+Q24</f>
        <v>0</v>
      </c>
      <c r="N24" s="6"/>
      <c r="O24" s="6"/>
      <c r="P24" s="6"/>
      <c r="Q24" s="6"/>
      <c r="R24" s="6" t="s">
        <v>22</v>
      </c>
      <c r="S24" s="6"/>
      <c r="T24" s="6"/>
      <c r="U24" s="6">
        <f>V24+W24+X24+Y24</f>
        <v>0</v>
      </c>
      <c r="V24" s="6"/>
      <c r="W24" s="6"/>
      <c r="X24" s="6"/>
      <c r="Y24" s="6"/>
      <c r="Z24" s="1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I24" s="1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 s="201" customFormat="1">
      <c r="A25" s="6" t="s">
        <v>12</v>
      </c>
      <c r="B25" s="26" t="e">
        <f t="shared" ref="B25:H25" si="27">B24/B23*100</f>
        <v>#DIV/0!</v>
      </c>
      <c r="C25" s="26" t="e">
        <f t="shared" si="27"/>
        <v>#DIV/0!</v>
      </c>
      <c r="D25" s="26" t="e">
        <f t="shared" si="27"/>
        <v>#DIV/0!</v>
      </c>
      <c r="E25" s="26" t="e">
        <f t="shared" si="27"/>
        <v>#DIV/0!</v>
      </c>
      <c r="F25" s="26" t="e">
        <f t="shared" si="27"/>
        <v>#DIV/0!</v>
      </c>
      <c r="G25" s="26" t="e">
        <f t="shared" si="27"/>
        <v>#DIV/0!</v>
      </c>
      <c r="H25" s="26" t="e">
        <f t="shared" si="27"/>
        <v>#DIV/0!</v>
      </c>
      <c r="J25" s="6" t="s">
        <v>12</v>
      </c>
      <c r="K25" s="26" t="e">
        <f t="shared" ref="K25:Q25" si="28">K24/K23*100</f>
        <v>#DIV/0!</v>
      </c>
      <c r="L25" s="26" t="e">
        <f t="shared" si="28"/>
        <v>#DIV/0!</v>
      </c>
      <c r="M25" s="26" t="e">
        <f t="shared" si="28"/>
        <v>#DIV/0!</v>
      </c>
      <c r="N25" s="26" t="e">
        <f t="shared" si="28"/>
        <v>#DIV/0!</v>
      </c>
      <c r="O25" s="26" t="e">
        <f t="shared" si="28"/>
        <v>#DIV/0!</v>
      </c>
      <c r="P25" s="26" t="e">
        <f t="shared" si="28"/>
        <v>#DIV/0!</v>
      </c>
      <c r="Q25" s="26" t="e">
        <f t="shared" si="28"/>
        <v>#DIV/0!</v>
      </c>
      <c r="R25" s="6" t="s">
        <v>12</v>
      </c>
      <c r="S25" s="26" t="e">
        <f t="shared" ref="S25:Y25" si="29">S24/S23*100</f>
        <v>#DIV/0!</v>
      </c>
      <c r="T25" s="26" t="e">
        <f t="shared" si="29"/>
        <v>#DIV/0!</v>
      </c>
      <c r="U25" s="26" t="e">
        <f t="shared" si="29"/>
        <v>#DIV/0!</v>
      </c>
      <c r="V25" s="26" t="e">
        <f t="shared" si="29"/>
        <v>#DIV/0!</v>
      </c>
      <c r="W25" s="26" t="e">
        <f t="shared" si="29"/>
        <v>#DIV/0!</v>
      </c>
      <c r="X25" s="26" t="e">
        <f t="shared" si="29"/>
        <v>#DIV/0!</v>
      </c>
      <c r="Y25" s="26" t="e">
        <f t="shared" si="29"/>
        <v>#DIV/0!</v>
      </c>
      <c r="Z25" s="113"/>
      <c r="AA25" s="6" t="s">
        <v>12</v>
      </c>
      <c r="AB25" s="26" t="e">
        <f t="shared" ref="AB25:AH25" si="30">AB24/AB23*100</f>
        <v>#DIV/0!</v>
      </c>
      <c r="AC25" s="26" t="e">
        <f t="shared" si="30"/>
        <v>#DIV/0!</v>
      </c>
      <c r="AD25" s="26" t="e">
        <f t="shared" si="30"/>
        <v>#DIV/0!</v>
      </c>
      <c r="AE25" s="26" t="e">
        <f t="shared" si="30"/>
        <v>#DIV/0!</v>
      </c>
      <c r="AF25" s="26" t="e">
        <f t="shared" si="30"/>
        <v>#DIV/0!</v>
      </c>
      <c r="AG25" s="26" t="e">
        <f t="shared" si="30"/>
        <v>#DIV/0!</v>
      </c>
      <c r="AH25" s="26" t="e">
        <f t="shared" si="30"/>
        <v>#DIV/0!</v>
      </c>
      <c r="AI25" s="113"/>
      <c r="AJ25" s="6" t="s">
        <v>12</v>
      </c>
      <c r="AK25" s="26" t="e">
        <f>AK24/AK23*100</f>
        <v>#DIV/0!</v>
      </c>
      <c r="AL25" s="26" t="e">
        <f>AL24/AL23*100</f>
        <v>#DIV/0!</v>
      </c>
      <c r="AM25" s="26" t="e">
        <f>AM24/AM23*100</f>
        <v>#DIV/0!</v>
      </c>
      <c r="AN25" s="26">
        <v>0</v>
      </c>
      <c r="AO25" s="26" t="e">
        <f>AO24/AO23*100</f>
        <v>#DIV/0!</v>
      </c>
      <c r="AP25" s="26" t="e">
        <f>AP24/AP23*100</f>
        <v>#DIV/0!</v>
      </c>
      <c r="AQ25" s="26" t="e">
        <f>AQ24/AQ23*100</f>
        <v>#DIV/0!</v>
      </c>
    </row>
    <row r="26" spans="1:43" s="201" customFormat="1">
      <c r="A26" s="6" t="s">
        <v>23</v>
      </c>
      <c r="B26" s="27">
        <f>K26+S26+AK26</f>
        <v>71</v>
      </c>
      <c r="C26" s="6">
        <f>L26+T26+AL26</f>
        <v>2640</v>
      </c>
      <c r="D26" s="6">
        <f>E26+F26+G26+H26</f>
        <v>2279</v>
      </c>
      <c r="E26" s="6">
        <f t="shared" ref="E26:H27" si="31">N26+V26+AN26</f>
        <v>223</v>
      </c>
      <c r="F26" s="6">
        <f t="shared" si="31"/>
        <v>459</v>
      </c>
      <c r="G26" s="6">
        <f t="shared" si="31"/>
        <v>63</v>
      </c>
      <c r="H26" s="6">
        <f t="shared" si="31"/>
        <v>1534</v>
      </c>
      <c r="J26" s="6" t="s">
        <v>23</v>
      </c>
      <c r="K26" s="27">
        <v>1.2</v>
      </c>
      <c r="L26" s="6">
        <v>756</v>
      </c>
      <c r="M26" s="6">
        <v>642</v>
      </c>
      <c r="N26" s="6">
        <v>110</v>
      </c>
      <c r="O26" s="6">
        <v>121</v>
      </c>
      <c r="P26" s="6">
        <v>22</v>
      </c>
      <c r="Q26" s="6">
        <v>389</v>
      </c>
      <c r="R26" s="6" t="s">
        <v>23</v>
      </c>
      <c r="S26" s="6">
        <v>69.8</v>
      </c>
      <c r="T26" s="6">
        <v>1884</v>
      </c>
      <c r="U26" s="6">
        <v>1637</v>
      </c>
      <c r="V26" s="6">
        <v>113</v>
      </c>
      <c r="W26" s="6">
        <v>338</v>
      </c>
      <c r="X26" s="6">
        <v>41</v>
      </c>
      <c r="Y26" s="6">
        <v>1145</v>
      </c>
      <c r="Z26" s="1"/>
      <c r="AA26" s="6" t="s">
        <v>23</v>
      </c>
      <c r="AB26" s="6"/>
      <c r="AC26" s="6">
        <v>56</v>
      </c>
      <c r="AD26" s="6">
        <v>49</v>
      </c>
      <c r="AE26" s="6">
        <v>5</v>
      </c>
      <c r="AF26" s="6">
        <v>11</v>
      </c>
      <c r="AG26" s="6">
        <v>2</v>
      </c>
      <c r="AH26" s="6">
        <v>31</v>
      </c>
      <c r="AI26" s="1"/>
      <c r="AJ26" s="6" t="s">
        <v>23</v>
      </c>
      <c r="AK26" s="6"/>
      <c r="AL26" s="6"/>
      <c r="AM26" s="6"/>
      <c r="AN26" s="6"/>
      <c r="AO26" s="6"/>
      <c r="AP26" s="6"/>
      <c r="AQ26" s="6"/>
    </row>
    <row r="27" spans="1:43" s="230" customFormat="1">
      <c r="A27" s="6" t="s">
        <v>24</v>
      </c>
      <c r="B27" s="6">
        <f>K27+S27+AK27</f>
        <v>70.900000000000006</v>
      </c>
      <c r="C27" s="6">
        <f>L27+T27+AL27</f>
        <v>2370</v>
      </c>
      <c r="D27" s="6">
        <f>E27+F27+G27+H27</f>
        <v>2176</v>
      </c>
      <c r="E27" s="6">
        <f t="shared" si="31"/>
        <v>314</v>
      </c>
      <c r="F27" s="6">
        <f t="shared" si="31"/>
        <v>106</v>
      </c>
      <c r="G27" s="6">
        <f t="shared" si="31"/>
        <v>1</v>
      </c>
      <c r="H27" s="6">
        <f t="shared" si="31"/>
        <v>1755</v>
      </c>
      <c r="I27" s="201"/>
      <c r="J27" s="6" t="s">
        <v>24</v>
      </c>
      <c r="K27" s="6">
        <v>29.2</v>
      </c>
      <c r="L27" s="6">
        <v>1150</v>
      </c>
      <c r="M27" s="6">
        <v>1016</v>
      </c>
      <c r="N27" s="6">
        <v>202</v>
      </c>
      <c r="O27" s="6">
        <v>45</v>
      </c>
      <c r="P27" s="6"/>
      <c r="Q27" s="6">
        <v>769</v>
      </c>
      <c r="R27" s="6" t="s">
        <v>24</v>
      </c>
      <c r="S27" s="6">
        <v>41.7</v>
      </c>
      <c r="T27" s="6">
        <v>1220</v>
      </c>
      <c r="U27" s="6">
        <v>1160</v>
      </c>
      <c r="V27" s="6">
        <v>112</v>
      </c>
      <c r="W27" s="6">
        <v>61</v>
      </c>
      <c r="X27" s="6">
        <v>1</v>
      </c>
      <c r="Y27" s="6">
        <v>986</v>
      </c>
      <c r="Z27" s="1"/>
      <c r="AA27" s="6" t="s">
        <v>24</v>
      </c>
      <c r="AB27" s="27">
        <v>1</v>
      </c>
      <c r="AC27" s="6">
        <v>80</v>
      </c>
      <c r="AD27" s="6">
        <v>77</v>
      </c>
      <c r="AE27" s="6">
        <v>13</v>
      </c>
      <c r="AF27" s="6">
        <v>10</v>
      </c>
      <c r="AG27" s="6">
        <v>1</v>
      </c>
      <c r="AH27" s="6">
        <v>53</v>
      </c>
      <c r="AI27" s="1"/>
      <c r="AJ27" s="6" t="s">
        <v>24</v>
      </c>
      <c r="AK27" s="6"/>
      <c r="AL27" s="6"/>
      <c r="AM27" s="6"/>
      <c r="AN27" s="6"/>
      <c r="AO27" s="6"/>
      <c r="AP27" s="6"/>
      <c r="AQ27" s="6"/>
    </row>
    <row r="28" spans="1:43" s="201" customFormat="1">
      <c r="A28" s="6" t="s">
        <v>12</v>
      </c>
      <c r="B28" s="26">
        <f t="shared" ref="B28:H28" si="32">B27/B26*100</f>
        <v>99.859154929577471</v>
      </c>
      <c r="C28" s="26">
        <f t="shared" si="32"/>
        <v>89.772727272727266</v>
      </c>
      <c r="D28" s="26">
        <f t="shared" si="32"/>
        <v>95.480473892057915</v>
      </c>
      <c r="E28" s="26">
        <f t="shared" si="32"/>
        <v>140.80717488789239</v>
      </c>
      <c r="F28" s="26">
        <f t="shared" si="32"/>
        <v>23.093681917211327</v>
      </c>
      <c r="G28" s="26">
        <f t="shared" si="32"/>
        <v>1.5873015873015872</v>
      </c>
      <c r="H28" s="26">
        <f t="shared" si="32"/>
        <v>114.40677966101696</v>
      </c>
      <c r="J28" s="6" t="s">
        <v>12</v>
      </c>
      <c r="K28" s="26">
        <f t="shared" ref="K28:Q28" si="33">K27/K26*100</f>
        <v>2433.333333333333</v>
      </c>
      <c r="L28" s="26">
        <f t="shared" si="33"/>
        <v>152.11640211640213</v>
      </c>
      <c r="M28" s="26">
        <f t="shared" si="33"/>
        <v>158.25545171339564</v>
      </c>
      <c r="N28" s="26">
        <f t="shared" si="33"/>
        <v>183.63636363636365</v>
      </c>
      <c r="O28" s="26">
        <f t="shared" si="33"/>
        <v>37.190082644628099</v>
      </c>
      <c r="P28" s="26">
        <f t="shared" si="33"/>
        <v>0</v>
      </c>
      <c r="Q28" s="26">
        <f t="shared" si="33"/>
        <v>197.68637532133678</v>
      </c>
      <c r="R28" s="6" t="s">
        <v>12</v>
      </c>
      <c r="S28" s="26">
        <f t="shared" ref="S28:Y28" si="34">S27/S26*100</f>
        <v>59.742120343839545</v>
      </c>
      <c r="T28" s="26">
        <f t="shared" si="34"/>
        <v>64.755838641188959</v>
      </c>
      <c r="U28" s="26">
        <f t="shared" si="34"/>
        <v>70.861331704337204</v>
      </c>
      <c r="V28" s="26">
        <f t="shared" si="34"/>
        <v>99.115044247787608</v>
      </c>
      <c r="W28" s="26">
        <f t="shared" si="34"/>
        <v>18.047337278106511</v>
      </c>
      <c r="X28" s="26">
        <f t="shared" si="34"/>
        <v>2.4390243902439024</v>
      </c>
      <c r="Y28" s="26">
        <f t="shared" si="34"/>
        <v>86.113537117903931</v>
      </c>
      <c r="Z28" s="113"/>
      <c r="AA28" s="6" t="s">
        <v>12</v>
      </c>
      <c r="AB28" s="26" t="e">
        <f t="shared" ref="AB28:AH28" si="35">AB27/AB26*100</f>
        <v>#DIV/0!</v>
      </c>
      <c r="AC28" s="26">
        <f t="shared" si="35"/>
        <v>142.85714285714286</v>
      </c>
      <c r="AD28" s="26">
        <f t="shared" si="35"/>
        <v>157.14285714285714</v>
      </c>
      <c r="AE28" s="26">
        <f t="shared" si="35"/>
        <v>260</v>
      </c>
      <c r="AF28" s="26">
        <f t="shared" si="35"/>
        <v>90.909090909090907</v>
      </c>
      <c r="AG28" s="26">
        <f t="shared" si="35"/>
        <v>50</v>
      </c>
      <c r="AH28" s="26">
        <f t="shared" si="35"/>
        <v>170.96774193548387</v>
      </c>
      <c r="AI28" s="113"/>
      <c r="AJ28" s="6" t="s">
        <v>12</v>
      </c>
      <c r="AK28" s="26" t="e">
        <f>AK27/AK26*100</f>
        <v>#DIV/0!</v>
      </c>
      <c r="AL28" s="26" t="e">
        <f>AL27/AL26*100</f>
        <v>#DIV/0!</v>
      </c>
      <c r="AM28" s="26" t="e">
        <f>AM27/AM26*100</f>
        <v>#DIV/0!</v>
      </c>
      <c r="AN28" s="26">
        <v>0</v>
      </c>
      <c r="AO28" s="26" t="e">
        <f>AO27/AO26*100</f>
        <v>#DIV/0!</v>
      </c>
      <c r="AP28" s="26" t="e">
        <f>AP27/AP26*100</f>
        <v>#DIV/0!</v>
      </c>
      <c r="AQ28" s="26" t="e">
        <f>AQ27/AQ26*100</f>
        <v>#DIV/0!</v>
      </c>
    </row>
    <row r="29" spans="1:43" s="201" customFormat="1">
      <c r="A29" s="6" t="s">
        <v>25</v>
      </c>
      <c r="B29" s="27">
        <f>K29+S29+AK29</f>
        <v>108.89999999999999</v>
      </c>
      <c r="C29" s="6">
        <f>L29+T29+AL29</f>
        <v>4192</v>
      </c>
      <c r="D29" s="6">
        <f>E29+F29+G29+H29</f>
        <v>3611</v>
      </c>
      <c r="E29" s="6">
        <f t="shared" ref="E29:H30" si="36">N29+V29+AN29</f>
        <v>352</v>
      </c>
      <c r="F29" s="6">
        <f t="shared" si="36"/>
        <v>766</v>
      </c>
      <c r="G29" s="6">
        <f t="shared" si="36"/>
        <v>27</v>
      </c>
      <c r="H29" s="6">
        <f t="shared" si="36"/>
        <v>2466</v>
      </c>
      <c r="J29" s="6" t="s">
        <v>25</v>
      </c>
      <c r="K29" s="27">
        <v>7.6</v>
      </c>
      <c r="L29" s="6">
        <v>419</v>
      </c>
      <c r="M29" s="6">
        <v>338</v>
      </c>
      <c r="N29" s="6">
        <v>12</v>
      </c>
      <c r="O29" s="6">
        <v>44</v>
      </c>
      <c r="P29" s="6">
        <v>27</v>
      </c>
      <c r="Q29" s="6">
        <v>255</v>
      </c>
      <c r="R29" s="6" t="s">
        <v>25</v>
      </c>
      <c r="S29" s="6">
        <v>101.3</v>
      </c>
      <c r="T29" s="6">
        <v>3773</v>
      </c>
      <c r="U29" s="6">
        <v>3273</v>
      </c>
      <c r="V29" s="6">
        <v>340</v>
      </c>
      <c r="W29" s="6">
        <v>722</v>
      </c>
      <c r="X29" s="6"/>
      <c r="Y29" s="6">
        <v>2211</v>
      </c>
      <c r="Z29" s="1"/>
      <c r="AA29" s="6" t="s">
        <v>25</v>
      </c>
      <c r="AB29" s="6"/>
      <c r="AC29" s="6">
        <v>7</v>
      </c>
      <c r="AD29" s="6">
        <v>6</v>
      </c>
      <c r="AE29" s="6">
        <v>1</v>
      </c>
      <c r="AF29" s="6">
        <v>1</v>
      </c>
      <c r="AG29" s="6"/>
      <c r="AH29" s="6">
        <v>4</v>
      </c>
      <c r="AI29" s="1"/>
      <c r="AJ29" s="6" t="s">
        <v>25</v>
      </c>
      <c r="AK29" s="6"/>
      <c r="AL29" s="6"/>
      <c r="AM29" s="6">
        <f>AN29+AO29+AP29+AQ29</f>
        <v>0</v>
      </c>
      <c r="AN29" s="6"/>
      <c r="AO29" s="6"/>
      <c r="AP29" s="6"/>
      <c r="AQ29" s="6"/>
    </row>
    <row r="30" spans="1:43" s="230" customFormat="1">
      <c r="A30" s="6" t="s">
        <v>26</v>
      </c>
      <c r="B30" s="6">
        <f>K30+S30+AK30</f>
        <v>127.4</v>
      </c>
      <c r="C30" s="6">
        <f>L30+T30+AL30</f>
        <v>3430</v>
      </c>
      <c r="D30" s="6">
        <f>E30+F30+G30+H30</f>
        <v>3330</v>
      </c>
      <c r="E30" s="6">
        <f t="shared" si="36"/>
        <v>379</v>
      </c>
      <c r="F30" s="6">
        <f t="shared" si="36"/>
        <v>89</v>
      </c>
      <c r="G30" s="6">
        <f t="shared" si="36"/>
        <v>0</v>
      </c>
      <c r="H30" s="6">
        <f t="shared" si="36"/>
        <v>2862</v>
      </c>
      <c r="I30" s="201"/>
      <c r="J30" s="6" t="s">
        <v>26</v>
      </c>
      <c r="K30" s="6">
        <v>13</v>
      </c>
      <c r="L30" s="6">
        <v>770</v>
      </c>
      <c r="M30" s="6">
        <v>729</v>
      </c>
      <c r="N30" s="6"/>
      <c r="O30" s="6"/>
      <c r="P30" s="6"/>
      <c r="Q30" s="6">
        <v>729</v>
      </c>
      <c r="R30" s="6" t="s">
        <v>26</v>
      </c>
      <c r="S30" s="27">
        <v>114.4</v>
      </c>
      <c r="T30" s="6">
        <v>2660</v>
      </c>
      <c r="U30" s="6">
        <v>2601</v>
      </c>
      <c r="V30" s="6">
        <v>379</v>
      </c>
      <c r="W30" s="6">
        <v>89</v>
      </c>
      <c r="X30" s="6"/>
      <c r="Y30" s="6">
        <v>2133</v>
      </c>
      <c r="Z30" s="1"/>
      <c r="AA30" s="6" t="s">
        <v>26</v>
      </c>
      <c r="AB30" s="6">
        <v>0.6</v>
      </c>
      <c r="AC30" s="6">
        <v>10</v>
      </c>
      <c r="AD30" s="6">
        <v>6</v>
      </c>
      <c r="AE30" s="6"/>
      <c r="AF30" s="6"/>
      <c r="AG30" s="6"/>
      <c r="AH30" s="6">
        <v>6</v>
      </c>
      <c r="AI30" s="1"/>
      <c r="AJ30" s="6" t="s">
        <v>26</v>
      </c>
      <c r="AK30" s="6"/>
      <c r="AL30" s="6"/>
      <c r="AM30" s="6"/>
      <c r="AN30" s="6"/>
      <c r="AO30" s="6"/>
      <c r="AP30" s="6"/>
      <c r="AQ30" s="6"/>
    </row>
    <row r="31" spans="1:43" s="201" customFormat="1">
      <c r="A31" s="6" t="s">
        <v>12</v>
      </c>
      <c r="B31" s="26">
        <f t="shared" ref="B31:H31" si="37">B30/B29*100</f>
        <v>116.98806244260791</v>
      </c>
      <c r="C31" s="26">
        <f t="shared" si="37"/>
        <v>81.822519083969468</v>
      </c>
      <c r="D31" s="26">
        <f t="shared" si="37"/>
        <v>92.218222099141514</v>
      </c>
      <c r="E31" s="26">
        <f t="shared" si="37"/>
        <v>107.67045454545455</v>
      </c>
      <c r="F31" s="26">
        <f t="shared" si="37"/>
        <v>11.618798955613578</v>
      </c>
      <c r="G31" s="26">
        <f t="shared" si="37"/>
        <v>0</v>
      </c>
      <c r="H31" s="26">
        <f t="shared" si="37"/>
        <v>116.05839416058394</v>
      </c>
      <c r="J31" s="6" t="s">
        <v>12</v>
      </c>
      <c r="K31" s="26">
        <f t="shared" ref="K31:Q31" si="38">K30/K29*100</f>
        <v>171.05263157894737</v>
      </c>
      <c r="L31" s="26">
        <f t="shared" si="38"/>
        <v>183.77088305489261</v>
      </c>
      <c r="M31" s="26">
        <f t="shared" si="38"/>
        <v>215.68047337278108</v>
      </c>
      <c r="N31" s="26">
        <f t="shared" si="38"/>
        <v>0</v>
      </c>
      <c r="O31" s="26">
        <f t="shared" si="38"/>
        <v>0</v>
      </c>
      <c r="P31" s="26">
        <f t="shared" si="38"/>
        <v>0</v>
      </c>
      <c r="Q31" s="26">
        <f t="shared" si="38"/>
        <v>285.88235294117646</v>
      </c>
      <c r="R31" s="6" t="s">
        <v>12</v>
      </c>
      <c r="S31" s="26">
        <f t="shared" ref="S31:Y31" si="39">S30/S29*100</f>
        <v>112.93188548864759</v>
      </c>
      <c r="T31" s="26">
        <f t="shared" si="39"/>
        <v>70.500927643784777</v>
      </c>
      <c r="U31" s="26">
        <f t="shared" si="39"/>
        <v>79.468377635197058</v>
      </c>
      <c r="V31" s="26">
        <f t="shared" si="39"/>
        <v>111.47058823529412</v>
      </c>
      <c r="W31" s="26">
        <f t="shared" si="39"/>
        <v>12.326869806094184</v>
      </c>
      <c r="X31" s="26" t="e">
        <f t="shared" si="39"/>
        <v>#DIV/0!</v>
      </c>
      <c r="Y31" s="26">
        <f t="shared" si="39"/>
        <v>96.472184531886029</v>
      </c>
      <c r="Z31" s="113"/>
      <c r="AA31" s="6" t="s">
        <v>12</v>
      </c>
      <c r="AB31" s="26" t="e">
        <f t="shared" ref="AB31:AH31" si="40">AB30/AB29*100</f>
        <v>#DIV/0!</v>
      </c>
      <c r="AC31" s="26">
        <f t="shared" si="40"/>
        <v>142.85714285714286</v>
      </c>
      <c r="AD31" s="26">
        <f t="shared" si="40"/>
        <v>100</v>
      </c>
      <c r="AE31" s="26">
        <f t="shared" si="40"/>
        <v>0</v>
      </c>
      <c r="AF31" s="26">
        <f t="shared" si="40"/>
        <v>0</v>
      </c>
      <c r="AG31" s="26" t="e">
        <f t="shared" si="40"/>
        <v>#DIV/0!</v>
      </c>
      <c r="AH31" s="26">
        <f t="shared" si="40"/>
        <v>150</v>
      </c>
      <c r="AI31" s="113"/>
      <c r="AJ31" s="6" t="s">
        <v>12</v>
      </c>
      <c r="AK31" s="26" t="e">
        <f>AK30/AK29*100</f>
        <v>#DIV/0!</v>
      </c>
      <c r="AL31" s="26" t="e">
        <f>AL30/AL29*100</f>
        <v>#DIV/0!</v>
      </c>
      <c r="AM31" s="26" t="e">
        <f>AM30/AM29*100</f>
        <v>#DIV/0!</v>
      </c>
      <c r="AN31" s="26">
        <v>0</v>
      </c>
      <c r="AO31" s="26" t="e">
        <f>AO30/AO29*100</f>
        <v>#DIV/0!</v>
      </c>
      <c r="AP31" s="26" t="e">
        <f>AP30/AP29*100</f>
        <v>#DIV/0!</v>
      </c>
      <c r="AQ31" s="26" t="e">
        <f>AQ30/AQ29*100</f>
        <v>#DIV/0!</v>
      </c>
    </row>
    <row r="32" spans="1:43" s="201" customFormat="1">
      <c r="A32" s="6" t="s">
        <v>27</v>
      </c>
      <c r="B32" s="6">
        <f>K32+S32+AK32</f>
        <v>37.200000000000003</v>
      </c>
      <c r="C32" s="6">
        <f>L32+T32+AL32</f>
        <v>10223</v>
      </c>
      <c r="D32" s="6">
        <f>E32+F32+G32+H32</f>
        <v>9095</v>
      </c>
      <c r="E32" s="6">
        <f t="shared" ref="E32:H33" si="41">N32+V32+AN32</f>
        <v>6228</v>
      </c>
      <c r="F32" s="6">
        <f t="shared" si="41"/>
        <v>1532</v>
      </c>
      <c r="G32" s="6">
        <f t="shared" si="41"/>
        <v>207</v>
      </c>
      <c r="H32" s="6">
        <f t="shared" si="41"/>
        <v>1128</v>
      </c>
      <c r="J32" s="6" t="s">
        <v>27</v>
      </c>
      <c r="K32" s="6"/>
      <c r="L32" s="6"/>
      <c r="M32" s="6"/>
      <c r="N32" s="6"/>
      <c r="O32" s="6"/>
      <c r="P32" s="6"/>
      <c r="Q32" s="6"/>
      <c r="R32" s="6" t="s">
        <v>27</v>
      </c>
      <c r="S32" s="6">
        <v>37.200000000000003</v>
      </c>
      <c r="T32" s="6">
        <v>10223</v>
      </c>
      <c r="U32" s="6">
        <v>9095</v>
      </c>
      <c r="V32" s="6">
        <v>6228</v>
      </c>
      <c r="W32" s="6">
        <v>1532</v>
      </c>
      <c r="X32" s="6">
        <v>207</v>
      </c>
      <c r="Y32" s="6">
        <v>1128</v>
      </c>
      <c r="Z32" s="1"/>
      <c r="AA32" s="6" t="s">
        <v>27</v>
      </c>
      <c r="AB32" s="6">
        <v>37.200000000000003</v>
      </c>
      <c r="AC32" s="6">
        <v>10238</v>
      </c>
      <c r="AD32" s="6">
        <v>9108</v>
      </c>
      <c r="AE32" s="6">
        <v>6238</v>
      </c>
      <c r="AF32" s="6">
        <v>1534</v>
      </c>
      <c r="AG32" s="6">
        <v>207</v>
      </c>
      <c r="AH32" s="6">
        <v>1129</v>
      </c>
      <c r="AI32" s="1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</row>
    <row r="33" spans="1:43" s="230" customFormat="1">
      <c r="A33" s="6" t="s">
        <v>28</v>
      </c>
      <c r="B33" s="6">
        <f>K33+S33+AK33</f>
        <v>15.2</v>
      </c>
      <c r="C33" s="6">
        <f>L33+T33+AL33</f>
        <v>3750</v>
      </c>
      <c r="D33" s="6">
        <f>E33+F33+G33+H33</f>
        <v>3686</v>
      </c>
      <c r="E33" s="6">
        <f t="shared" si="41"/>
        <v>2697</v>
      </c>
      <c r="F33" s="6">
        <f t="shared" si="41"/>
        <v>605</v>
      </c>
      <c r="G33" s="6">
        <f t="shared" si="41"/>
        <v>166</v>
      </c>
      <c r="H33" s="6">
        <f t="shared" si="41"/>
        <v>218</v>
      </c>
      <c r="I33" s="201"/>
      <c r="J33" s="6" t="s">
        <v>28</v>
      </c>
      <c r="K33" s="6"/>
      <c r="L33" s="6"/>
      <c r="M33" s="6"/>
      <c r="N33" s="6"/>
      <c r="O33" s="6"/>
      <c r="P33" s="6"/>
      <c r="Q33" s="6"/>
      <c r="R33" s="6" t="s">
        <v>28</v>
      </c>
      <c r="S33" s="6">
        <v>15.2</v>
      </c>
      <c r="T33" s="6">
        <v>3750</v>
      </c>
      <c r="U33" s="6">
        <v>3686</v>
      </c>
      <c r="V33" s="6">
        <v>2697</v>
      </c>
      <c r="W33" s="6">
        <v>605</v>
      </c>
      <c r="X33" s="6">
        <v>166</v>
      </c>
      <c r="Y33" s="6">
        <v>218</v>
      </c>
      <c r="Z33" s="1"/>
      <c r="AA33" s="6" t="s">
        <v>28</v>
      </c>
      <c r="AB33" s="6">
        <v>15.2</v>
      </c>
      <c r="AC33" s="6">
        <v>3750</v>
      </c>
      <c r="AD33" s="6">
        <v>3686</v>
      </c>
      <c r="AE33" s="6">
        <v>2697</v>
      </c>
      <c r="AF33" s="6">
        <v>605</v>
      </c>
      <c r="AG33" s="6">
        <v>166</v>
      </c>
      <c r="AH33" s="6">
        <v>218</v>
      </c>
      <c r="AI33" s="1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 s="201" customFormat="1">
      <c r="A34" s="6" t="s">
        <v>12</v>
      </c>
      <c r="B34" s="26">
        <f t="shared" ref="B34:H34" si="42">B33/B32*100</f>
        <v>40.86021505376344</v>
      </c>
      <c r="C34" s="26">
        <f t="shared" si="42"/>
        <v>36.681991587596599</v>
      </c>
      <c r="D34" s="26">
        <f t="shared" si="42"/>
        <v>40.527762506871909</v>
      </c>
      <c r="E34" s="26">
        <f t="shared" si="42"/>
        <v>43.304431599229289</v>
      </c>
      <c r="F34" s="26">
        <f t="shared" si="42"/>
        <v>39.490861618798959</v>
      </c>
      <c r="G34" s="26">
        <f t="shared" si="42"/>
        <v>80.193236714975853</v>
      </c>
      <c r="H34" s="26">
        <f t="shared" si="42"/>
        <v>19.326241134751772</v>
      </c>
      <c r="J34" s="6" t="s">
        <v>12</v>
      </c>
      <c r="K34" s="26">
        <v>0</v>
      </c>
      <c r="L34" s="26">
        <v>0</v>
      </c>
      <c r="M34" s="6">
        <f t="shared" ref="M34:M37" si="43">N34+O34+P34+Q34</f>
        <v>0</v>
      </c>
      <c r="N34" s="26">
        <v>0</v>
      </c>
      <c r="O34" s="26">
        <v>0</v>
      </c>
      <c r="P34" s="26">
        <v>0</v>
      </c>
      <c r="Q34" s="26">
        <v>0</v>
      </c>
      <c r="R34" s="6" t="s">
        <v>12</v>
      </c>
      <c r="S34" s="26">
        <f t="shared" ref="S34:Y34" si="44">S33/S32*100</f>
        <v>40.86021505376344</v>
      </c>
      <c r="T34" s="26">
        <f t="shared" si="44"/>
        <v>36.681991587596599</v>
      </c>
      <c r="U34" s="26">
        <f t="shared" si="44"/>
        <v>40.527762506871909</v>
      </c>
      <c r="V34" s="26">
        <f t="shared" si="44"/>
        <v>43.304431599229289</v>
      </c>
      <c r="W34" s="26">
        <f t="shared" si="44"/>
        <v>39.490861618798959</v>
      </c>
      <c r="X34" s="26">
        <f t="shared" si="44"/>
        <v>80.193236714975853</v>
      </c>
      <c r="Y34" s="26">
        <f t="shared" si="44"/>
        <v>19.326241134751772</v>
      </c>
      <c r="Z34" s="113"/>
      <c r="AA34" s="6" t="s">
        <v>12</v>
      </c>
      <c r="AB34" s="26">
        <f t="shared" ref="AB34:AH34" si="45">AB33/AB32*100</f>
        <v>40.86021505376344</v>
      </c>
      <c r="AC34" s="26">
        <f t="shared" si="45"/>
        <v>36.628247704629814</v>
      </c>
      <c r="AD34" s="26">
        <f t="shared" si="45"/>
        <v>40.469916556873081</v>
      </c>
      <c r="AE34" s="26">
        <f t="shared" si="45"/>
        <v>43.235011221545363</v>
      </c>
      <c r="AF34" s="26">
        <f t="shared" si="45"/>
        <v>39.439374185136899</v>
      </c>
      <c r="AG34" s="26">
        <f t="shared" si="45"/>
        <v>80.193236714975853</v>
      </c>
      <c r="AH34" s="26">
        <f t="shared" si="45"/>
        <v>19.309123117803363</v>
      </c>
      <c r="AI34" s="113"/>
      <c r="AJ34" s="6" t="s">
        <v>12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</row>
    <row r="35" spans="1:43" s="201" customFormat="1">
      <c r="A35" s="6" t="s">
        <v>29</v>
      </c>
      <c r="B35" s="6">
        <f>K35+S35+AK35</f>
        <v>245.3</v>
      </c>
      <c r="C35" s="6">
        <f>L35+T35+AL35</f>
        <v>17084</v>
      </c>
      <c r="D35" s="6">
        <f>E35+F35+G35+H35</f>
        <v>14539</v>
      </c>
      <c r="E35" s="6">
        <f t="shared" ref="E35:H36" si="46">N35+V35+AN35</f>
        <v>676</v>
      </c>
      <c r="F35" s="6">
        <f t="shared" si="46"/>
        <v>4287</v>
      </c>
      <c r="G35" s="6">
        <f t="shared" si="46"/>
        <v>1040</v>
      </c>
      <c r="H35" s="6">
        <f t="shared" si="46"/>
        <v>8536</v>
      </c>
      <c r="I35" s="58"/>
      <c r="J35" s="6" t="s">
        <v>29</v>
      </c>
      <c r="K35" s="6"/>
      <c r="L35" s="6">
        <v>37</v>
      </c>
      <c r="M35" s="6">
        <v>31</v>
      </c>
      <c r="N35" s="6">
        <v>1</v>
      </c>
      <c r="O35" s="6">
        <v>7</v>
      </c>
      <c r="P35" s="6">
        <v>3</v>
      </c>
      <c r="Q35" s="6">
        <v>20</v>
      </c>
      <c r="R35" s="6" t="s">
        <v>29</v>
      </c>
      <c r="S35" s="6">
        <v>245.3</v>
      </c>
      <c r="T35" s="6">
        <v>17047</v>
      </c>
      <c r="U35" s="6">
        <v>14508</v>
      </c>
      <c r="V35" s="6">
        <v>675</v>
      </c>
      <c r="W35" s="6">
        <v>4280</v>
      </c>
      <c r="X35" s="6">
        <v>1037</v>
      </c>
      <c r="Y35" s="6">
        <v>8516</v>
      </c>
      <c r="Z35" s="1"/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I35" s="1"/>
      <c r="AJ35" s="6" t="s">
        <v>29</v>
      </c>
      <c r="AK35" s="6"/>
      <c r="AL35" s="6"/>
      <c r="AM35" s="6"/>
      <c r="AN35" s="6"/>
      <c r="AO35" s="6"/>
      <c r="AP35" s="6"/>
      <c r="AQ35" s="6"/>
    </row>
    <row r="36" spans="1:43" s="230" customFormat="1">
      <c r="A36" s="6" t="s">
        <v>30</v>
      </c>
      <c r="B36" s="6">
        <f>K36+S36+AK36</f>
        <v>241.1</v>
      </c>
      <c r="C36" s="6">
        <f>L36+T36+AL36</f>
        <v>24790</v>
      </c>
      <c r="D36" s="6">
        <f>E36+F36+G36+H36</f>
        <v>23253</v>
      </c>
      <c r="E36" s="6">
        <f t="shared" si="46"/>
        <v>564</v>
      </c>
      <c r="F36" s="6">
        <f t="shared" si="46"/>
        <v>7145</v>
      </c>
      <c r="G36" s="6">
        <f t="shared" si="46"/>
        <v>1923</v>
      </c>
      <c r="H36" s="6">
        <f t="shared" si="46"/>
        <v>13621</v>
      </c>
      <c r="I36" s="201"/>
      <c r="J36" s="6" t="s">
        <v>30</v>
      </c>
      <c r="K36" s="6">
        <v>13.1</v>
      </c>
      <c r="L36" s="6">
        <v>490</v>
      </c>
      <c r="M36" s="6">
        <v>407</v>
      </c>
      <c r="N36" s="6">
        <v>29</v>
      </c>
      <c r="O36" s="6">
        <v>55</v>
      </c>
      <c r="P36" s="6">
        <v>5</v>
      </c>
      <c r="Q36" s="6">
        <v>318</v>
      </c>
      <c r="R36" s="6" t="s">
        <v>30</v>
      </c>
      <c r="S36" s="27">
        <v>228</v>
      </c>
      <c r="T36" s="6">
        <v>24300</v>
      </c>
      <c r="U36" s="6">
        <v>22846</v>
      </c>
      <c r="V36" s="6">
        <v>535</v>
      </c>
      <c r="W36" s="6">
        <v>7090</v>
      </c>
      <c r="X36" s="6">
        <v>1918</v>
      </c>
      <c r="Y36" s="6">
        <v>13303</v>
      </c>
      <c r="Z36" s="1"/>
      <c r="AA36" s="6" t="s">
        <v>30</v>
      </c>
      <c r="AB36" s="6">
        <v>0.8</v>
      </c>
      <c r="AC36" s="6">
        <v>30</v>
      </c>
      <c r="AD36" s="6">
        <v>20</v>
      </c>
      <c r="AE36" s="6"/>
      <c r="AF36" s="6">
        <v>7</v>
      </c>
      <c r="AG36" s="6">
        <v>1</v>
      </c>
      <c r="AH36" s="6">
        <v>12</v>
      </c>
      <c r="AI36" s="1"/>
      <c r="AJ36" s="6" t="s">
        <v>30</v>
      </c>
      <c r="AK36" s="6"/>
      <c r="AL36" s="6"/>
      <c r="AM36" s="6"/>
      <c r="AN36" s="6"/>
      <c r="AO36" s="6"/>
      <c r="AP36" s="6"/>
      <c r="AQ36" s="6"/>
    </row>
    <row r="37" spans="1:43" s="201" customFormat="1">
      <c r="A37" s="6" t="s">
        <v>12</v>
      </c>
      <c r="B37" s="26">
        <f t="shared" ref="B37:H37" si="47">B36/B35*100</f>
        <v>98.287810843864648</v>
      </c>
      <c r="C37" s="26">
        <f t="shared" si="47"/>
        <v>145.10653242800279</v>
      </c>
      <c r="D37" s="26">
        <f t="shared" si="47"/>
        <v>159.93534630992502</v>
      </c>
      <c r="E37" s="26">
        <f t="shared" si="47"/>
        <v>83.431952662721898</v>
      </c>
      <c r="F37" s="26">
        <f t="shared" si="47"/>
        <v>166.66666666666669</v>
      </c>
      <c r="G37" s="26">
        <f t="shared" si="47"/>
        <v>184.90384615384616</v>
      </c>
      <c r="H37" s="26">
        <f t="shared" si="47"/>
        <v>159.57122774133083</v>
      </c>
      <c r="J37" s="6" t="s">
        <v>12</v>
      </c>
      <c r="K37" s="26">
        <v>0</v>
      </c>
      <c r="L37" s="26">
        <v>0</v>
      </c>
      <c r="M37" s="6">
        <f t="shared" si="43"/>
        <v>0</v>
      </c>
      <c r="N37" s="26">
        <v>0</v>
      </c>
      <c r="O37" s="26">
        <v>0</v>
      </c>
      <c r="P37" s="26">
        <v>0</v>
      </c>
      <c r="Q37" s="26">
        <v>0</v>
      </c>
      <c r="R37" s="6" t="s">
        <v>12</v>
      </c>
      <c r="S37" s="26">
        <f t="shared" ref="S37:Y37" si="48">S36/S35*100</f>
        <v>92.947411333061552</v>
      </c>
      <c r="T37" s="26">
        <f t="shared" si="48"/>
        <v>142.54707573180033</v>
      </c>
      <c r="U37" s="26">
        <f t="shared" si="48"/>
        <v>157.47173972980423</v>
      </c>
      <c r="V37" s="26">
        <f t="shared" si="48"/>
        <v>79.259259259259267</v>
      </c>
      <c r="W37" s="26">
        <f t="shared" si="48"/>
        <v>165.65420560747663</v>
      </c>
      <c r="X37" s="26">
        <f t="shared" si="48"/>
        <v>184.95660559305688</v>
      </c>
      <c r="Y37" s="26">
        <f t="shared" si="48"/>
        <v>156.21183654297792</v>
      </c>
      <c r="Z37" s="113"/>
      <c r="AA37" s="6" t="s">
        <v>12</v>
      </c>
      <c r="AB37" s="26" t="e">
        <f t="shared" ref="AB37:AH37" si="49">AB36/AB35*100</f>
        <v>#DIV/0!</v>
      </c>
      <c r="AC37" s="26" t="e">
        <f t="shared" si="49"/>
        <v>#DIV/0!</v>
      </c>
      <c r="AD37" s="26" t="e">
        <f t="shared" si="49"/>
        <v>#DIV/0!</v>
      </c>
      <c r="AE37" s="26" t="e">
        <f t="shared" si="49"/>
        <v>#DIV/0!</v>
      </c>
      <c r="AF37" s="26" t="e">
        <f t="shared" si="49"/>
        <v>#DIV/0!</v>
      </c>
      <c r="AG37" s="26" t="e">
        <f t="shared" si="49"/>
        <v>#DIV/0!</v>
      </c>
      <c r="AH37" s="26" t="e">
        <f t="shared" si="49"/>
        <v>#DIV/0!</v>
      </c>
      <c r="AI37" s="113"/>
      <c r="AJ37" s="6" t="s">
        <v>12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</row>
    <row r="38" spans="1:43" s="201" customFormat="1">
      <c r="A38" s="6" t="s">
        <v>31</v>
      </c>
      <c r="B38" s="6">
        <f>K38+S38+AK38</f>
        <v>294</v>
      </c>
      <c r="C38" s="6">
        <f>L38+T38+AL38</f>
        <v>6311</v>
      </c>
      <c r="D38" s="6">
        <f>E38+F38+G38+H38</f>
        <v>4871</v>
      </c>
      <c r="E38" s="6">
        <f t="shared" ref="E38:H39" si="50">N38+V38+AN38</f>
        <v>857</v>
      </c>
      <c r="F38" s="6">
        <f t="shared" si="50"/>
        <v>1422</v>
      </c>
      <c r="G38" s="6">
        <f t="shared" si="50"/>
        <v>192</v>
      </c>
      <c r="H38" s="6">
        <f t="shared" si="50"/>
        <v>2400</v>
      </c>
      <c r="J38" s="6" t="s">
        <v>31</v>
      </c>
      <c r="K38" s="6">
        <v>166.4</v>
      </c>
      <c r="L38" s="6">
        <v>4558</v>
      </c>
      <c r="M38" s="6">
        <v>3699</v>
      </c>
      <c r="N38" s="6">
        <v>731</v>
      </c>
      <c r="O38" s="6">
        <v>1261</v>
      </c>
      <c r="P38" s="6">
        <v>163</v>
      </c>
      <c r="Q38" s="6">
        <v>1544</v>
      </c>
      <c r="R38" s="6" t="s">
        <v>31</v>
      </c>
      <c r="S38" s="6">
        <v>27.1</v>
      </c>
      <c r="T38" s="6">
        <v>1281</v>
      </c>
      <c r="U38" s="6">
        <v>995</v>
      </c>
      <c r="V38" s="6">
        <v>126</v>
      </c>
      <c r="W38" s="6">
        <v>161</v>
      </c>
      <c r="X38" s="6">
        <v>29</v>
      </c>
      <c r="Y38" s="6">
        <v>679</v>
      </c>
      <c r="Z38" s="1"/>
      <c r="AA38" s="6" t="s">
        <v>31</v>
      </c>
      <c r="AB38" s="27">
        <v>6.7</v>
      </c>
      <c r="AC38" s="6">
        <v>289</v>
      </c>
      <c r="AD38" s="6">
        <v>242</v>
      </c>
      <c r="AE38" s="6">
        <v>68</v>
      </c>
      <c r="AF38" s="6">
        <v>45</v>
      </c>
      <c r="AG38" s="6">
        <v>7</v>
      </c>
      <c r="AH38" s="6">
        <v>122</v>
      </c>
      <c r="AI38" s="1"/>
      <c r="AJ38" s="6" t="s">
        <v>31</v>
      </c>
      <c r="AK38" s="6">
        <v>100.5</v>
      </c>
      <c r="AL38" s="6">
        <v>472</v>
      </c>
      <c r="AM38" s="6">
        <v>177</v>
      </c>
      <c r="AN38" s="6"/>
      <c r="AO38" s="6"/>
      <c r="AP38" s="6"/>
      <c r="AQ38" s="6">
        <v>177</v>
      </c>
    </row>
    <row r="39" spans="1:43" s="230" customFormat="1">
      <c r="A39" s="6" t="s">
        <v>32</v>
      </c>
      <c r="B39" s="27">
        <f>K39+S39+AK39</f>
        <v>188.4</v>
      </c>
      <c r="C39" s="6">
        <f>L39+T39+AL39</f>
        <v>8730</v>
      </c>
      <c r="D39" s="6">
        <f>E39+F39+G39+H39</f>
        <v>8107</v>
      </c>
      <c r="E39" s="6">
        <f t="shared" si="50"/>
        <v>1854</v>
      </c>
      <c r="F39" s="6">
        <f t="shared" si="50"/>
        <v>815</v>
      </c>
      <c r="G39" s="6">
        <f t="shared" si="50"/>
        <v>67</v>
      </c>
      <c r="H39" s="6">
        <f t="shared" si="50"/>
        <v>5371</v>
      </c>
      <c r="I39" s="201"/>
      <c r="J39" s="6" t="s">
        <v>32</v>
      </c>
      <c r="K39" s="27">
        <v>141.80000000000001</v>
      </c>
      <c r="L39" s="6">
        <v>6870</v>
      </c>
      <c r="M39" s="6">
        <v>6519</v>
      </c>
      <c r="N39" s="6">
        <v>1564</v>
      </c>
      <c r="O39" s="6">
        <v>765</v>
      </c>
      <c r="P39" s="6">
        <v>59</v>
      </c>
      <c r="Q39" s="6">
        <v>4131</v>
      </c>
      <c r="R39" s="6" t="s">
        <v>32</v>
      </c>
      <c r="S39" s="6">
        <v>46.6</v>
      </c>
      <c r="T39" s="6">
        <v>1860</v>
      </c>
      <c r="U39" s="6">
        <v>1588</v>
      </c>
      <c r="V39" s="6">
        <v>290</v>
      </c>
      <c r="W39" s="6">
        <v>50</v>
      </c>
      <c r="X39" s="6">
        <v>8</v>
      </c>
      <c r="Y39" s="6">
        <v>1240</v>
      </c>
      <c r="Z39" s="1"/>
      <c r="AA39" s="6" t="s">
        <v>32</v>
      </c>
      <c r="AB39" s="6">
        <v>13.9</v>
      </c>
      <c r="AC39" s="6">
        <v>530</v>
      </c>
      <c r="AD39" s="6">
        <v>455</v>
      </c>
      <c r="AE39" s="6">
        <v>172</v>
      </c>
      <c r="AF39" s="6">
        <v>27</v>
      </c>
      <c r="AG39" s="6">
        <v>2</v>
      </c>
      <c r="AH39" s="6">
        <v>254</v>
      </c>
      <c r="AI39" s="1"/>
      <c r="AJ39" s="6" t="s">
        <v>32</v>
      </c>
      <c r="AK39" s="6"/>
      <c r="AL39" s="6"/>
      <c r="AM39" s="6"/>
      <c r="AN39" s="6"/>
      <c r="AO39" s="6"/>
      <c r="AP39" s="6"/>
      <c r="AQ39" s="6"/>
    </row>
    <row r="40" spans="1:43" s="201" customFormat="1">
      <c r="A40" s="6" t="s">
        <v>12</v>
      </c>
      <c r="B40" s="26">
        <f t="shared" ref="B40:H40" si="51">B39/B38*100</f>
        <v>64.08163265306122</v>
      </c>
      <c r="C40" s="26">
        <f t="shared" si="51"/>
        <v>138.32990017429884</v>
      </c>
      <c r="D40" s="26">
        <f t="shared" si="51"/>
        <v>166.43399712584684</v>
      </c>
      <c r="E40" s="26">
        <f t="shared" si="51"/>
        <v>216.3360560093349</v>
      </c>
      <c r="F40" s="26">
        <f t="shared" si="51"/>
        <v>57.313642756680728</v>
      </c>
      <c r="G40" s="26">
        <f t="shared" si="51"/>
        <v>34.895833333333329</v>
      </c>
      <c r="H40" s="26">
        <f t="shared" si="51"/>
        <v>223.79166666666666</v>
      </c>
      <c r="J40" s="6" t="s">
        <v>12</v>
      </c>
      <c r="K40" s="26">
        <f t="shared" ref="K40:Q40" si="52">K39/K38*100</f>
        <v>85.21634615384616</v>
      </c>
      <c r="L40" s="26">
        <f t="shared" si="52"/>
        <v>150.72400175515577</v>
      </c>
      <c r="M40" s="26">
        <f t="shared" si="52"/>
        <v>176.23682076236821</v>
      </c>
      <c r="N40" s="26">
        <f t="shared" si="52"/>
        <v>213.95348837209301</v>
      </c>
      <c r="O40" s="26">
        <f t="shared" si="52"/>
        <v>60.666137985725612</v>
      </c>
      <c r="P40" s="26">
        <f t="shared" si="52"/>
        <v>36.196319018404907</v>
      </c>
      <c r="Q40" s="26">
        <f t="shared" si="52"/>
        <v>267.55181347150261</v>
      </c>
      <c r="R40" s="6" t="s">
        <v>12</v>
      </c>
      <c r="S40" s="26">
        <f t="shared" ref="S40:Y40" si="53">S39/S38*100</f>
        <v>171.95571955719558</v>
      </c>
      <c r="T40" s="26">
        <f t="shared" si="53"/>
        <v>145.19906323185012</v>
      </c>
      <c r="U40" s="26">
        <f t="shared" si="53"/>
        <v>159.59798994974875</v>
      </c>
      <c r="V40" s="26">
        <f t="shared" si="53"/>
        <v>230.15873015873015</v>
      </c>
      <c r="W40" s="26">
        <f t="shared" si="53"/>
        <v>31.05590062111801</v>
      </c>
      <c r="X40" s="26">
        <f t="shared" si="53"/>
        <v>27.586206896551722</v>
      </c>
      <c r="Y40" s="26">
        <f t="shared" si="53"/>
        <v>182.62150220913108</v>
      </c>
      <c r="Z40" s="113"/>
      <c r="AA40" s="6" t="s">
        <v>12</v>
      </c>
      <c r="AB40" s="26">
        <f t="shared" ref="AB40:AH40" si="54">AB39/AB38*100</f>
        <v>207.46268656716418</v>
      </c>
      <c r="AC40" s="26">
        <f t="shared" si="54"/>
        <v>183.3910034602076</v>
      </c>
      <c r="AD40" s="26">
        <f t="shared" si="54"/>
        <v>188.01652892561984</v>
      </c>
      <c r="AE40" s="26">
        <f t="shared" si="54"/>
        <v>252.94117647058823</v>
      </c>
      <c r="AF40" s="26">
        <f t="shared" si="54"/>
        <v>60</v>
      </c>
      <c r="AG40" s="26">
        <f t="shared" si="54"/>
        <v>28.571428571428569</v>
      </c>
      <c r="AH40" s="26">
        <f t="shared" si="54"/>
        <v>208.19672131147539</v>
      </c>
      <c r="AI40" s="113"/>
      <c r="AJ40" s="6" t="s">
        <v>12</v>
      </c>
      <c r="AK40" s="26">
        <f>AK39/AK38*100</f>
        <v>0</v>
      </c>
      <c r="AL40" s="26">
        <f>AL39/AL38*100</f>
        <v>0</v>
      </c>
      <c r="AM40" s="26">
        <f>AM39/AM38*100</f>
        <v>0</v>
      </c>
      <c r="AN40" s="26">
        <v>0</v>
      </c>
      <c r="AO40" s="26" t="e">
        <f>AO39/AO38*100</f>
        <v>#DIV/0!</v>
      </c>
      <c r="AP40" s="26" t="e">
        <f>AP39/AP38*100</f>
        <v>#DIV/0!</v>
      </c>
      <c r="AQ40" s="26">
        <f>AQ39/AQ38*100</f>
        <v>0</v>
      </c>
    </row>
    <row r="41" spans="1:43" s="14" customFormat="1"/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55">K9+S9+AK9</f>
        <v>821.40000000000009</v>
      </c>
      <c r="C46" s="83">
        <f t="shared" si="55"/>
        <v>44066</v>
      </c>
      <c r="D46" s="83">
        <f t="shared" si="55"/>
        <v>37041</v>
      </c>
      <c r="E46" s="83">
        <f t="shared" si="55"/>
        <v>9237</v>
      </c>
      <c r="F46" s="83">
        <f t="shared" si="55"/>
        <v>9389</v>
      </c>
      <c r="G46" s="83">
        <f t="shared" si="55"/>
        <v>1632</v>
      </c>
      <c r="H46" s="83">
        <f t="shared" si="55"/>
        <v>16783</v>
      </c>
    </row>
    <row r="47" spans="1:43">
      <c r="A47" s="84" t="s">
        <v>50</v>
      </c>
      <c r="B47" s="83">
        <f t="shared" si="55"/>
        <v>759.6</v>
      </c>
      <c r="C47" s="83">
        <f t="shared" si="55"/>
        <v>48700</v>
      </c>
      <c r="D47" s="83">
        <f t="shared" si="55"/>
        <v>45836</v>
      </c>
      <c r="E47" s="83">
        <f t="shared" si="55"/>
        <v>6110</v>
      </c>
      <c r="F47" s="83">
        <f t="shared" si="55"/>
        <v>9026</v>
      </c>
      <c r="G47" s="83">
        <f t="shared" si="55"/>
        <v>2164</v>
      </c>
      <c r="H47" s="83">
        <f t="shared" si="55"/>
        <v>28535</v>
      </c>
    </row>
    <row r="48" spans="1:43">
      <c r="A48" s="85" t="s">
        <v>44</v>
      </c>
      <c r="B48" s="86">
        <f>B47/B46*100</f>
        <v>92.476260043827608</v>
      </c>
      <c r="C48" s="86">
        <f t="shared" ref="C48:H48" si="56">C47/C46*100</f>
        <v>110.5160441156447</v>
      </c>
      <c r="D48" s="86">
        <f t="shared" si="56"/>
        <v>123.74395939634459</v>
      </c>
      <c r="E48" s="86">
        <f t="shared" si="56"/>
        <v>66.147017429901481</v>
      </c>
      <c r="F48" s="86">
        <f t="shared" si="56"/>
        <v>96.133773564809886</v>
      </c>
      <c r="G48" s="86">
        <f t="shared" si="56"/>
        <v>132.59803921568627</v>
      </c>
      <c r="H48" s="86">
        <f t="shared" si="56"/>
        <v>170.0232378001549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7">K13+S13+AK13</f>
        <v>65</v>
      </c>
      <c r="C50" s="90">
        <f t="shared" si="57"/>
        <v>3616</v>
      </c>
      <c r="D50" s="90">
        <f t="shared" si="57"/>
        <v>2646</v>
      </c>
      <c r="E50" s="90">
        <f t="shared" si="57"/>
        <v>901</v>
      </c>
      <c r="F50" s="90">
        <f t="shared" si="57"/>
        <v>923</v>
      </c>
      <c r="G50" s="90">
        <f t="shared" si="57"/>
        <v>103</v>
      </c>
      <c r="H50" s="90">
        <f t="shared" si="57"/>
        <v>719</v>
      </c>
    </row>
    <row r="51" spans="1:8">
      <c r="A51" s="75" t="s">
        <v>50</v>
      </c>
      <c r="B51" s="90">
        <f t="shared" si="57"/>
        <v>116.60000000000001</v>
      </c>
      <c r="C51" s="90">
        <f t="shared" si="57"/>
        <v>5630</v>
      </c>
      <c r="D51" s="90">
        <f t="shared" si="57"/>
        <v>5284</v>
      </c>
      <c r="E51" s="90">
        <f t="shared" si="57"/>
        <v>302</v>
      </c>
      <c r="F51" s="90">
        <f t="shared" si="57"/>
        <v>266</v>
      </c>
      <c r="G51" s="90">
        <f t="shared" si="57"/>
        <v>7</v>
      </c>
      <c r="H51" s="90">
        <f t="shared" si="57"/>
        <v>4708</v>
      </c>
    </row>
    <row r="52" spans="1:8">
      <c r="A52" s="75" t="s">
        <v>44</v>
      </c>
      <c r="B52" s="91">
        <f t="shared" ref="B52:H52" si="58">B51/B50*100</f>
        <v>179.38461538461539</v>
      </c>
      <c r="C52" s="91">
        <f t="shared" si="58"/>
        <v>155.69690265486727</v>
      </c>
      <c r="D52" s="91">
        <f t="shared" si="58"/>
        <v>199.69765684051399</v>
      </c>
      <c r="E52" s="91">
        <f t="shared" si="58"/>
        <v>33.518312985571583</v>
      </c>
      <c r="F52" s="91">
        <f t="shared" si="58"/>
        <v>28.819068255687974</v>
      </c>
      <c r="G52" s="91">
        <f t="shared" si="58"/>
        <v>6.7961165048543686</v>
      </c>
      <c r="H52" s="91">
        <f t="shared" si="58"/>
        <v>654.79833101529903</v>
      </c>
    </row>
    <row r="53" spans="1:8">
      <c r="A53" s="75" t="s">
        <v>13</v>
      </c>
      <c r="B53" s="90">
        <f t="shared" ref="B53:H55" si="59">K16+S16+AK16</f>
        <v>0</v>
      </c>
      <c r="C53" s="90">
        <f t="shared" si="59"/>
        <v>0</v>
      </c>
      <c r="D53" s="90">
        <f t="shared" si="59"/>
        <v>0</v>
      </c>
      <c r="E53" s="90">
        <f t="shared" si="59"/>
        <v>0</v>
      </c>
      <c r="F53" s="90">
        <f t="shared" si="59"/>
        <v>0</v>
      </c>
      <c r="G53" s="90">
        <f t="shared" si="59"/>
        <v>0</v>
      </c>
      <c r="H53" s="90">
        <f t="shared" si="59"/>
        <v>0</v>
      </c>
    </row>
    <row r="54" spans="1:8">
      <c r="A54" s="92" t="s">
        <v>14</v>
      </c>
      <c r="B54" s="90">
        <f t="shared" si="59"/>
        <v>3.1</v>
      </c>
      <c r="C54" s="90">
        <f t="shared" si="59"/>
        <v>130</v>
      </c>
      <c r="D54" s="90">
        <f t="shared" si="59"/>
        <v>121</v>
      </c>
      <c r="E54" s="90">
        <f t="shared" si="59"/>
        <v>0</v>
      </c>
      <c r="F54" s="90">
        <f t="shared" si="59"/>
        <v>0</v>
      </c>
      <c r="G54" s="90">
        <f t="shared" si="59"/>
        <v>5</v>
      </c>
      <c r="H54" s="90">
        <f t="shared" si="59"/>
        <v>116</v>
      </c>
    </row>
    <row r="55" spans="1:8">
      <c r="A55" s="75" t="s">
        <v>15</v>
      </c>
      <c r="B55" s="90">
        <f t="shared" si="59"/>
        <v>0</v>
      </c>
      <c r="C55" s="90">
        <f t="shared" si="59"/>
        <v>0</v>
      </c>
      <c r="D55" s="90">
        <f t="shared" si="59"/>
        <v>0</v>
      </c>
      <c r="E55" s="90">
        <f t="shared" si="59"/>
        <v>0</v>
      </c>
      <c r="F55" s="90">
        <f t="shared" si="59"/>
        <v>0</v>
      </c>
      <c r="G55" s="90">
        <f t="shared" si="59"/>
        <v>0</v>
      </c>
      <c r="H55" s="90">
        <f t="shared" si="59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60">K20+S20+AK20</f>
        <v>756.40000000000009</v>
      </c>
      <c r="C57" s="90">
        <f t="shared" si="60"/>
        <v>40450</v>
      </c>
      <c r="D57" s="90">
        <f t="shared" si="60"/>
        <v>34395</v>
      </c>
      <c r="E57" s="90">
        <f t="shared" si="60"/>
        <v>8336</v>
      </c>
      <c r="F57" s="90">
        <f t="shared" si="60"/>
        <v>8466</v>
      </c>
      <c r="G57" s="90">
        <f t="shared" si="60"/>
        <v>1529</v>
      </c>
      <c r="H57" s="90">
        <f t="shared" si="60"/>
        <v>16064</v>
      </c>
    </row>
    <row r="58" spans="1:8">
      <c r="A58" s="92" t="s">
        <v>50</v>
      </c>
      <c r="B58" s="90">
        <f t="shared" si="60"/>
        <v>643</v>
      </c>
      <c r="C58" s="90">
        <f t="shared" si="60"/>
        <v>43070</v>
      </c>
      <c r="D58" s="90">
        <f t="shared" si="60"/>
        <v>40552</v>
      </c>
      <c r="E58" s="90">
        <f t="shared" si="60"/>
        <v>5808</v>
      </c>
      <c r="F58" s="90">
        <f t="shared" si="60"/>
        <v>8760</v>
      </c>
      <c r="G58" s="90">
        <f t="shared" si="60"/>
        <v>2157</v>
      </c>
      <c r="H58" s="90">
        <f t="shared" si="60"/>
        <v>23827</v>
      </c>
    </row>
    <row r="59" spans="1:8">
      <c r="A59" s="75" t="s">
        <v>44</v>
      </c>
      <c r="B59" s="91">
        <f t="shared" ref="B59:H59" si="61">B58/B57*100</f>
        <v>85.007932310946572</v>
      </c>
      <c r="C59" s="91">
        <f t="shared" si="61"/>
        <v>106.47713226205191</v>
      </c>
      <c r="D59" s="91">
        <f t="shared" si="61"/>
        <v>117.90085768280274</v>
      </c>
      <c r="E59" s="91">
        <f t="shared" si="61"/>
        <v>69.673704414587334</v>
      </c>
      <c r="F59" s="91">
        <f t="shared" si="61"/>
        <v>103.47271438695959</v>
      </c>
      <c r="G59" s="91">
        <f t="shared" si="61"/>
        <v>141.07259646827993</v>
      </c>
      <c r="H59" s="91">
        <f t="shared" si="61"/>
        <v>148.32544820717132</v>
      </c>
    </row>
    <row r="60" spans="1:8">
      <c r="A60" s="75" t="s">
        <v>21</v>
      </c>
      <c r="B60" s="90">
        <f t="shared" ref="B60:H61" si="62">K23+S23+AK23</f>
        <v>0</v>
      </c>
      <c r="C60" s="90">
        <f t="shared" si="62"/>
        <v>0</v>
      </c>
      <c r="D60" s="90">
        <f t="shared" si="62"/>
        <v>0</v>
      </c>
      <c r="E60" s="90">
        <f t="shared" si="62"/>
        <v>0</v>
      </c>
      <c r="F60" s="90">
        <f t="shared" si="62"/>
        <v>0</v>
      </c>
      <c r="G60" s="90">
        <f t="shared" si="62"/>
        <v>0</v>
      </c>
      <c r="H60" s="90">
        <f t="shared" si="62"/>
        <v>0</v>
      </c>
    </row>
    <row r="61" spans="1:8">
      <c r="A61" s="75" t="s">
        <v>51</v>
      </c>
      <c r="B61" s="90">
        <f t="shared" si="62"/>
        <v>0</v>
      </c>
      <c r="C61" s="90">
        <f t="shared" si="62"/>
        <v>0</v>
      </c>
      <c r="D61" s="90">
        <f t="shared" si="62"/>
        <v>0</v>
      </c>
      <c r="E61" s="90">
        <f t="shared" si="62"/>
        <v>0</v>
      </c>
      <c r="F61" s="90">
        <f t="shared" si="62"/>
        <v>0</v>
      </c>
      <c r="G61" s="90">
        <f t="shared" si="62"/>
        <v>0</v>
      </c>
      <c r="H61" s="90">
        <f t="shared" si="62"/>
        <v>0</v>
      </c>
    </row>
    <row r="62" spans="1:8">
      <c r="A62" s="75" t="s">
        <v>12</v>
      </c>
      <c r="B62" s="91" t="e">
        <f t="shared" ref="B62:H62" si="63">B61/B60*100</f>
        <v>#DIV/0!</v>
      </c>
      <c r="C62" s="91" t="e">
        <f t="shared" si="63"/>
        <v>#DIV/0!</v>
      </c>
      <c r="D62" s="91" t="e">
        <f t="shared" si="63"/>
        <v>#DIV/0!</v>
      </c>
      <c r="E62" s="91" t="e">
        <f t="shared" si="63"/>
        <v>#DIV/0!</v>
      </c>
      <c r="F62" s="91" t="e">
        <f t="shared" si="63"/>
        <v>#DIV/0!</v>
      </c>
      <c r="G62" s="91" t="e">
        <f t="shared" si="63"/>
        <v>#DIV/0!</v>
      </c>
      <c r="H62" s="91" t="e">
        <f t="shared" si="63"/>
        <v>#DIV/0!</v>
      </c>
    </row>
    <row r="63" spans="1:8">
      <c r="A63" s="75" t="s">
        <v>23</v>
      </c>
      <c r="B63" s="90">
        <f t="shared" ref="B63:H64" si="64">K26+S26+AK26</f>
        <v>71</v>
      </c>
      <c r="C63" s="90">
        <f t="shared" si="64"/>
        <v>2640</v>
      </c>
      <c r="D63" s="90">
        <f t="shared" si="64"/>
        <v>2279</v>
      </c>
      <c r="E63" s="90">
        <f t="shared" si="64"/>
        <v>223</v>
      </c>
      <c r="F63" s="90">
        <f t="shared" si="64"/>
        <v>459</v>
      </c>
      <c r="G63" s="90">
        <f t="shared" si="64"/>
        <v>63</v>
      </c>
      <c r="H63" s="90">
        <f t="shared" si="64"/>
        <v>1534</v>
      </c>
    </row>
    <row r="64" spans="1:8">
      <c r="A64" s="75" t="s">
        <v>45</v>
      </c>
      <c r="B64" s="90">
        <f t="shared" si="64"/>
        <v>70.900000000000006</v>
      </c>
      <c r="C64" s="90">
        <f t="shared" si="64"/>
        <v>2370</v>
      </c>
      <c r="D64" s="90">
        <f t="shared" si="64"/>
        <v>2176</v>
      </c>
      <c r="E64" s="90">
        <f t="shared" si="64"/>
        <v>314</v>
      </c>
      <c r="F64" s="90">
        <f t="shared" si="64"/>
        <v>106</v>
      </c>
      <c r="G64" s="90">
        <f t="shared" si="64"/>
        <v>1</v>
      </c>
      <c r="H64" s="90">
        <f t="shared" si="64"/>
        <v>1755</v>
      </c>
    </row>
    <row r="65" spans="1:8">
      <c r="A65" s="75" t="s">
        <v>12</v>
      </c>
      <c r="B65" s="91">
        <f t="shared" ref="B65:H65" si="65">B64/B63*100</f>
        <v>99.859154929577471</v>
      </c>
      <c r="C65" s="91">
        <f t="shared" si="65"/>
        <v>89.772727272727266</v>
      </c>
      <c r="D65" s="91">
        <f t="shared" si="65"/>
        <v>95.480473892057915</v>
      </c>
      <c r="E65" s="91">
        <f t="shared" si="65"/>
        <v>140.80717488789239</v>
      </c>
      <c r="F65" s="91">
        <f t="shared" si="65"/>
        <v>23.093681917211327</v>
      </c>
      <c r="G65" s="91">
        <f t="shared" si="65"/>
        <v>1.5873015873015872</v>
      </c>
      <c r="H65" s="91">
        <f t="shared" si="65"/>
        <v>114.40677966101696</v>
      </c>
    </row>
    <row r="66" spans="1:8">
      <c r="A66" s="75" t="s">
        <v>25</v>
      </c>
      <c r="B66" s="90">
        <f t="shared" ref="B66:H67" si="66">K29+S29+AK29</f>
        <v>108.89999999999999</v>
      </c>
      <c r="C66" s="90">
        <f t="shared" si="66"/>
        <v>4192</v>
      </c>
      <c r="D66" s="90">
        <f t="shared" si="66"/>
        <v>3611</v>
      </c>
      <c r="E66" s="90">
        <f t="shared" si="66"/>
        <v>352</v>
      </c>
      <c r="F66" s="90">
        <f t="shared" si="66"/>
        <v>766</v>
      </c>
      <c r="G66" s="90">
        <f t="shared" si="66"/>
        <v>27</v>
      </c>
      <c r="H66" s="90">
        <f t="shared" si="66"/>
        <v>2466</v>
      </c>
    </row>
    <row r="67" spans="1:8">
      <c r="A67" s="75" t="s">
        <v>46</v>
      </c>
      <c r="B67" s="90">
        <f t="shared" si="66"/>
        <v>127.4</v>
      </c>
      <c r="C67" s="90">
        <f t="shared" si="66"/>
        <v>3430</v>
      </c>
      <c r="D67" s="90">
        <f t="shared" si="66"/>
        <v>3330</v>
      </c>
      <c r="E67" s="90">
        <f t="shared" si="66"/>
        <v>379</v>
      </c>
      <c r="F67" s="90">
        <f t="shared" si="66"/>
        <v>89</v>
      </c>
      <c r="G67" s="90">
        <f t="shared" si="66"/>
        <v>0</v>
      </c>
      <c r="H67" s="90">
        <f t="shared" si="66"/>
        <v>2862</v>
      </c>
    </row>
    <row r="68" spans="1:8">
      <c r="A68" s="75" t="s">
        <v>12</v>
      </c>
      <c r="B68" s="91">
        <f t="shared" ref="B68:H68" si="67">B67/B66*100</f>
        <v>116.98806244260791</v>
      </c>
      <c r="C68" s="91">
        <f t="shared" si="67"/>
        <v>81.822519083969468</v>
      </c>
      <c r="D68" s="91">
        <f t="shared" si="67"/>
        <v>92.218222099141514</v>
      </c>
      <c r="E68" s="91">
        <f t="shared" si="67"/>
        <v>107.67045454545455</v>
      </c>
      <c r="F68" s="91">
        <f t="shared" si="67"/>
        <v>11.618798955613578</v>
      </c>
      <c r="G68" s="91">
        <f t="shared" si="67"/>
        <v>0</v>
      </c>
      <c r="H68" s="91">
        <f t="shared" si="67"/>
        <v>116.05839416058394</v>
      </c>
    </row>
    <row r="69" spans="1:8">
      <c r="A69" s="75" t="s">
        <v>27</v>
      </c>
      <c r="B69" s="90">
        <f t="shared" ref="B69:H70" si="68">K32+S32+AK32</f>
        <v>37.200000000000003</v>
      </c>
      <c r="C69" s="90">
        <f t="shared" si="68"/>
        <v>10223</v>
      </c>
      <c r="D69" s="90">
        <f t="shared" si="68"/>
        <v>9095</v>
      </c>
      <c r="E69" s="90">
        <f t="shared" si="68"/>
        <v>6228</v>
      </c>
      <c r="F69" s="90">
        <f t="shared" si="68"/>
        <v>1532</v>
      </c>
      <c r="G69" s="90">
        <f t="shared" si="68"/>
        <v>207</v>
      </c>
      <c r="H69" s="90">
        <f t="shared" si="68"/>
        <v>1128</v>
      </c>
    </row>
    <row r="70" spans="1:8">
      <c r="A70" s="75" t="s">
        <v>47</v>
      </c>
      <c r="B70" s="90">
        <f t="shared" si="68"/>
        <v>15.2</v>
      </c>
      <c r="C70" s="90">
        <f t="shared" si="68"/>
        <v>3750</v>
      </c>
      <c r="D70" s="90">
        <f t="shared" si="68"/>
        <v>3686</v>
      </c>
      <c r="E70" s="90">
        <f t="shared" si="68"/>
        <v>2697</v>
      </c>
      <c r="F70" s="90">
        <f t="shared" si="68"/>
        <v>605</v>
      </c>
      <c r="G70" s="90">
        <f t="shared" si="68"/>
        <v>166</v>
      </c>
      <c r="H70" s="90">
        <f t="shared" si="68"/>
        <v>218</v>
      </c>
    </row>
    <row r="71" spans="1:8">
      <c r="A71" s="75" t="s">
        <v>12</v>
      </c>
      <c r="B71" s="91">
        <f t="shared" ref="B71:H71" si="69">B70/B69*100</f>
        <v>40.86021505376344</v>
      </c>
      <c r="C71" s="91">
        <f t="shared" si="69"/>
        <v>36.681991587596599</v>
      </c>
      <c r="D71" s="91">
        <f t="shared" si="69"/>
        <v>40.527762506871909</v>
      </c>
      <c r="E71" s="91">
        <f t="shared" si="69"/>
        <v>43.304431599229289</v>
      </c>
      <c r="F71" s="91">
        <f t="shared" si="69"/>
        <v>39.490861618798959</v>
      </c>
      <c r="G71" s="91">
        <f t="shared" si="69"/>
        <v>80.193236714975853</v>
      </c>
      <c r="H71" s="91">
        <f t="shared" si="69"/>
        <v>19.326241134751772</v>
      </c>
    </row>
    <row r="72" spans="1:8">
      <c r="A72" s="75" t="s">
        <v>29</v>
      </c>
      <c r="B72" s="90">
        <f t="shared" ref="B72:H73" si="70">K35+S35+AK35</f>
        <v>245.3</v>
      </c>
      <c r="C72" s="90">
        <f t="shared" si="70"/>
        <v>17084</v>
      </c>
      <c r="D72" s="90">
        <f t="shared" si="70"/>
        <v>14539</v>
      </c>
      <c r="E72" s="90">
        <f t="shared" si="70"/>
        <v>676</v>
      </c>
      <c r="F72" s="90">
        <f t="shared" si="70"/>
        <v>4287</v>
      </c>
      <c r="G72" s="90">
        <f t="shared" si="70"/>
        <v>1040</v>
      </c>
      <c r="H72" s="90">
        <f t="shared" si="70"/>
        <v>8536</v>
      </c>
    </row>
    <row r="73" spans="1:8">
      <c r="A73" s="75" t="s">
        <v>48</v>
      </c>
      <c r="B73" s="90">
        <f t="shared" si="70"/>
        <v>241.1</v>
      </c>
      <c r="C73" s="90">
        <f t="shared" si="70"/>
        <v>24790</v>
      </c>
      <c r="D73" s="90">
        <f t="shared" si="70"/>
        <v>23253</v>
      </c>
      <c r="E73" s="90">
        <f t="shared" si="70"/>
        <v>564</v>
      </c>
      <c r="F73" s="90">
        <f t="shared" si="70"/>
        <v>7145</v>
      </c>
      <c r="G73" s="90">
        <f t="shared" si="70"/>
        <v>1923</v>
      </c>
      <c r="H73" s="90">
        <f t="shared" si="70"/>
        <v>13621</v>
      </c>
    </row>
    <row r="74" spans="1:8">
      <c r="A74" s="75" t="s">
        <v>12</v>
      </c>
      <c r="B74" s="91">
        <f t="shared" ref="B74:H74" si="71">B73/B72*100</f>
        <v>98.287810843864648</v>
      </c>
      <c r="C74" s="91">
        <f t="shared" si="71"/>
        <v>145.10653242800279</v>
      </c>
      <c r="D74" s="91">
        <f t="shared" si="71"/>
        <v>159.93534630992502</v>
      </c>
      <c r="E74" s="91">
        <f t="shared" si="71"/>
        <v>83.431952662721898</v>
      </c>
      <c r="F74" s="91">
        <f t="shared" si="71"/>
        <v>166.66666666666669</v>
      </c>
      <c r="G74" s="91">
        <f t="shared" si="71"/>
        <v>184.90384615384616</v>
      </c>
      <c r="H74" s="91">
        <f t="shared" si="71"/>
        <v>159.57122774133083</v>
      </c>
    </row>
    <row r="75" spans="1:8">
      <c r="A75" s="75" t="s">
        <v>31</v>
      </c>
      <c r="B75" s="90">
        <f t="shared" ref="B75:H76" si="72">K38+S38+AK38</f>
        <v>294</v>
      </c>
      <c r="C75" s="90">
        <f t="shared" si="72"/>
        <v>6311</v>
      </c>
      <c r="D75" s="90">
        <f t="shared" si="72"/>
        <v>4871</v>
      </c>
      <c r="E75" s="90">
        <f t="shared" si="72"/>
        <v>857</v>
      </c>
      <c r="F75" s="90">
        <f t="shared" si="72"/>
        <v>1422</v>
      </c>
      <c r="G75" s="90">
        <f t="shared" si="72"/>
        <v>192</v>
      </c>
      <c r="H75" s="90">
        <f t="shared" si="72"/>
        <v>2400</v>
      </c>
    </row>
    <row r="76" spans="1:8">
      <c r="A76" s="75" t="s">
        <v>52</v>
      </c>
      <c r="B76" s="90">
        <f t="shared" si="72"/>
        <v>188.4</v>
      </c>
      <c r="C76" s="90">
        <f t="shared" si="72"/>
        <v>8730</v>
      </c>
      <c r="D76" s="90">
        <f t="shared" si="72"/>
        <v>8107</v>
      </c>
      <c r="E76" s="90">
        <f t="shared" si="72"/>
        <v>1854</v>
      </c>
      <c r="F76" s="90">
        <f t="shared" si="72"/>
        <v>815</v>
      </c>
      <c r="G76" s="90">
        <f t="shared" si="72"/>
        <v>67</v>
      </c>
      <c r="H76" s="90">
        <f t="shared" si="72"/>
        <v>5371</v>
      </c>
    </row>
    <row r="77" spans="1:8">
      <c r="A77" s="75" t="s">
        <v>12</v>
      </c>
      <c r="B77" s="91">
        <f t="shared" ref="B77:H77" si="73">B76/B75*100</f>
        <v>64.08163265306122</v>
      </c>
      <c r="C77" s="91">
        <f t="shared" si="73"/>
        <v>138.32990017429884</v>
      </c>
      <c r="D77" s="91">
        <f t="shared" si="73"/>
        <v>166.43399712584684</v>
      </c>
      <c r="E77" s="91">
        <f t="shared" si="73"/>
        <v>216.3360560093349</v>
      </c>
      <c r="F77" s="91">
        <f t="shared" si="73"/>
        <v>57.313642756680728</v>
      </c>
      <c r="G77" s="91">
        <f t="shared" si="73"/>
        <v>34.895833333333329</v>
      </c>
      <c r="H77" s="91">
        <f t="shared" si="73"/>
        <v>223.79166666666666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74">B9-B46</f>
        <v>0</v>
      </c>
      <c r="C83" s="83">
        <f t="shared" si="74"/>
        <v>0</v>
      </c>
      <c r="D83" s="83">
        <f t="shared" si="74"/>
        <v>0</v>
      </c>
      <c r="E83" s="83">
        <f t="shared" si="74"/>
        <v>0</v>
      </c>
      <c r="F83" s="83">
        <f t="shared" si="74"/>
        <v>0</v>
      </c>
      <c r="G83" s="83">
        <f t="shared" si="74"/>
        <v>0</v>
      </c>
      <c r="H83" s="83">
        <f t="shared" si="74"/>
        <v>0</v>
      </c>
    </row>
    <row r="84" spans="1:8">
      <c r="A84" s="84" t="s">
        <v>50</v>
      </c>
      <c r="B84" s="83">
        <f t="shared" si="74"/>
        <v>0</v>
      </c>
      <c r="C84" s="83">
        <f t="shared" si="74"/>
        <v>0</v>
      </c>
      <c r="D84" s="83">
        <f t="shared" si="74"/>
        <v>-1</v>
      </c>
      <c r="E84" s="83">
        <f t="shared" si="74"/>
        <v>0</v>
      </c>
      <c r="F84" s="83">
        <f t="shared" si="74"/>
        <v>0</v>
      </c>
      <c r="G84" s="83">
        <f t="shared" si="74"/>
        <v>0</v>
      </c>
      <c r="H84" s="83">
        <f t="shared" si="74"/>
        <v>0</v>
      </c>
    </row>
    <row r="85" spans="1:8">
      <c r="A85" s="85" t="s">
        <v>44</v>
      </c>
      <c r="B85" s="83">
        <f t="shared" si="74"/>
        <v>0</v>
      </c>
      <c r="C85" s="83">
        <f t="shared" si="74"/>
        <v>0</v>
      </c>
      <c r="D85" s="83">
        <f t="shared" si="74"/>
        <v>-2.6997111309157162E-3</v>
      </c>
      <c r="E85" s="83">
        <f t="shared" si="74"/>
        <v>0</v>
      </c>
      <c r="F85" s="83">
        <f t="shared" si="74"/>
        <v>0</v>
      </c>
      <c r="G85" s="83">
        <f t="shared" si="74"/>
        <v>0</v>
      </c>
      <c r="H85" s="83">
        <f t="shared" si="74"/>
        <v>0</v>
      </c>
    </row>
    <row r="86" spans="1:8">
      <c r="A86" s="87" t="s">
        <v>11</v>
      </c>
      <c r="B86" s="83">
        <f t="shared" si="74"/>
        <v>0</v>
      </c>
      <c r="C86" s="83">
        <f t="shared" si="74"/>
        <v>0</v>
      </c>
      <c r="D86" s="83">
        <f t="shared" si="74"/>
        <v>0</v>
      </c>
      <c r="E86" s="83">
        <f t="shared" si="74"/>
        <v>0</v>
      </c>
      <c r="F86" s="83">
        <f t="shared" si="74"/>
        <v>0</v>
      </c>
      <c r="G86" s="83">
        <f t="shared" si="74"/>
        <v>0</v>
      </c>
      <c r="H86" s="83">
        <f t="shared" si="74"/>
        <v>0</v>
      </c>
    </row>
    <row r="87" spans="1:8">
      <c r="A87" s="75" t="s">
        <v>40</v>
      </c>
      <c r="B87" s="83">
        <f t="shared" si="74"/>
        <v>0</v>
      </c>
      <c r="C87" s="83">
        <f t="shared" si="74"/>
        <v>0</v>
      </c>
      <c r="D87" s="83">
        <f t="shared" si="74"/>
        <v>0</v>
      </c>
      <c r="E87" s="83">
        <f t="shared" si="74"/>
        <v>0</v>
      </c>
      <c r="F87" s="83">
        <f t="shared" si="74"/>
        <v>0</v>
      </c>
      <c r="G87" s="83">
        <f t="shared" si="74"/>
        <v>0</v>
      </c>
      <c r="H87" s="83">
        <f t="shared" si="74"/>
        <v>0</v>
      </c>
    </row>
    <row r="88" spans="1:8">
      <c r="A88" s="75" t="s">
        <v>50</v>
      </c>
      <c r="B88" s="83">
        <f t="shared" si="74"/>
        <v>0</v>
      </c>
      <c r="C88" s="83">
        <f t="shared" si="74"/>
        <v>0</v>
      </c>
      <c r="D88" s="83">
        <f t="shared" si="74"/>
        <v>-1</v>
      </c>
      <c r="E88" s="83">
        <f t="shared" si="74"/>
        <v>0</v>
      </c>
      <c r="F88" s="83">
        <f t="shared" si="74"/>
        <v>0</v>
      </c>
      <c r="G88" s="83">
        <f t="shared" si="74"/>
        <v>0</v>
      </c>
      <c r="H88" s="83">
        <f t="shared" si="74"/>
        <v>0</v>
      </c>
    </row>
    <row r="89" spans="1:8">
      <c r="A89" s="75" t="s">
        <v>44</v>
      </c>
      <c r="B89" s="83">
        <f t="shared" si="74"/>
        <v>0</v>
      </c>
      <c r="C89" s="83">
        <f t="shared" si="74"/>
        <v>0</v>
      </c>
      <c r="D89" s="83">
        <f t="shared" si="74"/>
        <v>-3.7792894935734012E-2</v>
      </c>
      <c r="E89" s="83">
        <f t="shared" si="74"/>
        <v>0</v>
      </c>
      <c r="F89" s="83">
        <f t="shared" si="74"/>
        <v>0</v>
      </c>
      <c r="G89" s="83">
        <f t="shared" si="74"/>
        <v>0</v>
      </c>
      <c r="H89" s="83">
        <f t="shared" si="74"/>
        <v>0</v>
      </c>
    </row>
    <row r="90" spans="1:8">
      <c r="A90" s="75" t="s">
        <v>13</v>
      </c>
      <c r="B90" s="83">
        <f t="shared" si="74"/>
        <v>0</v>
      </c>
      <c r="C90" s="83">
        <f t="shared" si="74"/>
        <v>0</v>
      </c>
      <c r="D90" s="83">
        <f t="shared" si="74"/>
        <v>0</v>
      </c>
      <c r="E90" s="83">
        <f t="shared" si="74"/>
        <v>0</v>
      </c>
      <c r="F90" s="83">
        <f t="shared" si="74"/>
        <v>0</v>
      </c>
      <c r="G90" s="83">
        <f t="shared" si="74"/>
        <v>0</v>
      </c>
      <c r="H90" s="83">
        <f t="shared" si="74"/>
        <v>0</v>
      </c>
    </row>
    <row r="91" spans="1:8">
      <c r="A91" s="92" t="s">
        <v>14</v>
      </c>
      <c r="B91" s="83">
        <f t="shared" si="74"/>
        <v>0</v>
      </c>
      <c r="C91" s="83">
        <f t="shared" si="74"/>
        <v>0</v>
      </c>
      <c r="D91" s="83">
        <f t="shared" si="74"/>
        <v>0</v>
      </c>
      <c r="E91" s="83">
        <f t="shared" si="74"/>
        <v>0</v>
      </c>
      <c r="F91" s="83">
        <f t="shared" si="74"/>
        <v>0</v>
      </c>
      <c r="G91" s="83">
        <f t="shared" si="74"/>
        <v>0</v>
      </c>
      <c r="H91" s="83">
        <f t="shared" si="74"/>
        <v>0</v>
      </c>
    </row>
    <row r="92" spans="1:8">
      <c r="A92" s="75" t="s">
        <v>15</v>
      </c>
      <c r="B92" s="83">
        <f t="shared" si="74"/>
        <v>0</v>
      </c>
      <c r="C92" s="83">
        <f t="shared" si="74"/>
        <v>0</v>
      </c>
      <c r="D92" s="83">
        <f t="shared" si="74"/>
        <v>0</v>
      </c>
      <c r="E92" s="83">
        <f t="shared" si="74"/>
        <v>0</v>
      </c>
      <c r="F92" s="83">
        <f t="shared" si="74"/>
        <v>0</v>
      </c>
      <c r="G92" s="83">
        <f t="shared" si="74"/>
        <v>0</v>
      </c>
      <c r="H92" s="83">
        <f t="shared" si="74"/>
        <v>0</v>
      </c>
    </row>
    <row r="93" spans="1:8">
      <c r="A93" s="87" t="s">
        <v>16</v>
      </c>
      <c r="B93" s="83">
        <f t="shared" si="74"/>
        <v>0</v>
      </c>
      <c r="C93" s="83">
        <f t="shared" si="74"/>
        <v>0</v>
      </c>
      <c r="D93" s="83">
        <f t="shared" si="74"/>
        <v>0</v>
      </c>
      <c r="E93" s="83">
        <f t="shared" si="74"/>
        <v>0</v>
      </c>
      <c r="F93" s="83">
        <f t="shared" si="74"/>
        <v>0</v>
      </c>
      <c r="G93" s="83">
        <f t="shared" si="74"/>
        <v>0</v>
      </c>
      <c r="H93" s="83">
        <f t="shared" si="74"/>
        <v>0</v>
      </c>
    </row>
    <row r="94" spans="1:8">
      <c r="A94" s="75" t="s">
        <v>40</v>
      </c>
      <c r="B94" s="83">
        <f t="shared" si="74"/>
        <v>0</v>
      </c>
      <c r="C94" s="83">
        <f t="shared" si="74"/>
        <v>0</v>
      </c>
      <c r="D94" s="83">
        <f t="shared" si="74"/>
        <v>0</v>
      </c>
      <c r="E94" s="83">
        <f t="shared" si="74"/>
        <v>0</v>
      </c>
      <c r="F94" s="83">
        <f t="shared" si="74"/>
        <v>0</v>
      </c>
      <c r="G94" s="83">
        <f t="shared" si="74"/>
        <v>0</v>
      </c>
      <c r="H94" s="83">
        <f t="shared" si="74"/>
        <v>0</v>
      </c>
    </row>
    <row r="95" spans="1:8">
      <c r="A95" s="92" t="s">
        <v>50</v>
      </c>
      <c r="B95" s="83">
        <f t="shared" si="74"/>
        <v>0</v>
      </c>
      <c r="C95" s="83">
        <f t="shared" si="74"/>
        <v>0</v>
      </c>
      <c r="D95" s="83">
        <f t="shared" si="74"/>
        <v>0</v>
      </c>
      <c r="E95" s="83">
        <f t="shared" si="74"/>
        <v>0</v>
      </c>
      <c r="F95" s="83">
        <f t="shared" si="74"/>
        <v>0</v>
      </c>
      <c r="G95" s="83">
        <f t="shared" si="74"/>
        <v>0</v>
      </c>
      <c r="H95" s="83">
        <f t="shared" si="74"/>
        <v>0</v>
      </c>
    </row>
    <row r="96" spans="1:8">
      <c r="A96" s="75" t="s">
        <v>44</v>
      </c>
      <c r="B96" s="83">
        <f t="shared" si="74"/>
        <v>0</v>
      </c>
      <c r="C96" s="83">
        <f t="shared" si="74"/>
        <v>0</v>
      </c>
      <c r="D96" s="83">
        <f t="shared" si="74"/>
        <v>0</v>
      </c>
      <c r="E96" s="83">
        <f t="shared" si="74"/>
        <v>0</v>
      </c>
      <c r="F96" s="83">
        <f t="shared" si="74"/>
        <v>0</v>
      </c>
      <c r="G96" s="83">
        <f t="shared" si="74"/>
        <v>0</v>
      </c>
      <c r="H96" s="83">
        <f t="shared" si="74"/>
        <v>0</v>
      </c>
    </row>
    <row r="97" spans="1:8">
      <c r="A97" s="75" t="s">
        <v>21</v>
      </c>
      <c r="B97" s="83">
        <f t="shared" si="74"/>
        <v>0</v>
      </c>
      <c r="C97" s="83">
        <f t="shared" si="74"/>
        <v>0</v>
      </c>
      <c r="D97" s="83">
        <f t="shared" si="74"/>
        <v>0</v>
      </c>
      <c r="E97" s="83">
        <f t="shared" si="74"/>
        <v>0</v>
      </c>
      <c r="F97" s="83">
        <f t="shared" si="74"/>
        <v>0</v>
      </c>
      <c r="G97" s="83">
        <f t="shared" si="74"/>
        <v>0</v>
      </c>
      <c r="H97" s="83">
        <f t="shared" si="74"/>
        <v>0</v>
      </c>
    </row>
    <row r="98" spans="1:8">
      <c r="A98" s="75" t="s">
        <v>51</v>
      </c>
      <c r="B98" s="83">
        <f t="shared" si="74"/>
        <v>0</v>
      </c>
      <c r="C98" s="83">
        <f t="shared" si="74"/>
        <v>0</v>
      </c>
      <c r="D98" s="83">
        <f t="shared" si="74"/>
        <v>0</v>
      </c>
      <c r="E98" s="83">
        <f t="shared" si="74"/>
        <v>0</v>
      </c>
      <c r="F98" s="83">
        <f t="shared" si="74"/>
        <v>0</v>
      </c>
      <c r="G98" s="83">
        <f t="shared" si="74"/>
        <v>0</v>
      </c>
      <c r="H98" s="83">
        <f t="shared" si="74"/>
        <v>0</v>
      </c>
    </row>
    <row r="99" spans="1:8">
      <c r="A99" s="75" t="s">
        <v>12</v>
      </c>
      <c r="B99" s="83" t="e">
        <f t="shared" ref="B99:H114" si="75">B25-B62</f>
        <v>#DIV/0!</v>
      </c>
      <c r="C99" s="83" t="e">
        <f t="shared" si="75"/>
        <v>#DIV/0!</v>
      </c>
      <c r="D99" s="83" t="e">
        <f t="shared" si="75"/>
        <v>#DIV/0!</v>
      </c>
      <c r="E99" s="83" t="e">
        <f t="shared" si="75"/>
        <v>#DIV/0!</v>
      </c>
      <c r="F99" s="83" t="e">
        <f t="shared" si="75"/>
        <v>#DIV/0!</v>
      </c>
      <c r="G99" s="83" t="e">
        <f t="shared" si="75"/>
        <v>#DIV/0!</v>
      </c>
      <c r="H99" s="83" t="e">
        <f t="shared" si="75"/>
        <v>#DIV/0!</v>
      </c>
    </row>
    <row r="100" spans="1:8">
      <c r="A100" s="75" t="s">
        <v>23</v>
      </c>
      <c r="B100" s="83">
        <f t="shared" si="75"/>
        <v>0</v>
      </c>
      <c r="C100" s="83">
        <f t="shared" si="75"/>
        <v>0</v>
      </c>
      <c r="D100" s="83">
        <f t="shared" si="75"/>
        <v>0</v>
      </c>
      <c r="E100" s="83">
        <f t="shared" si="75"/>
        <v>0</v>
      </c>
      <c r="F100" s="83">
        <f t="shared" si="75"/>
        <v>0</v>
      </c>
      <c r="G100" s="83">
        <f t="shared" si="75"/>
        <v>0</v>
      </c>
      <c r="H100" s="83">
        <f t="shared" si="75"/>
        <v>0</v>
      </c>
    </row>
    <row r="101" spans="1:8">
      <c r="A101" s="75" t="s">
        <v>45</v>
      </c>
      <c r="B101" s="83">
        <f t="shared" si="75"/>
        <v>0</v>
      </c>
      <c r="C101" s="83">
        <f t="shared" si="75"/>
        <v>0</v>
      </c>
      <c r="D101" s="83">
        <f t="shared" si="75"/>
        <v>0</v>
      </c>
      <c r="E101" s="83">
        <f t="shared" si="75"/>
        <v>0</v>
      </c>
      <c r="F101" s="83">
        <f t="shared" si="75"/>
        <v>0</v>
      </c>
      <c r="G101" s="83">
        <f t="shared" si="75"/>
        <v>0</v>
      </c>
      <c r="H101" s="83">
        <f t="shared" si="75"/>
        <v>0</v>
      </c>
    </row>
    <row r="102" spans="1:8">
      <c r="A102" s="75" t="s">
        <v>12</v>
      </c>
      <c r="B102" s="83">
        <f t="shared" si="75"/>
        <v>0</v>
      </c>
      <c r="C102" s="83">
        <f t="shared" si="75"/>
        <v>0</v>
      </c>
      <c r="D102" s="83">
        <f t="shared" si="75"/>
        <v>0</v>
      </c>
      <c r="E102" s="83">
        <f t="shared" si="75"/>
        <v>0</v>
      </c>
      <c r="F102" s="83">
        <f t="shared" si="75"/>
        <v>0</v>
      </c>
      <c r="G102" s="83">
        <f t="shared" si="75"/>
        <v>0</v>
      </c>
      <c r="H102" s="83">
        <f t="shared" si="75"/>
        <v>0</v>
      </c>
    </row>
    <row r="103" spans="1:8">
      <c r="A103" s="75" t="s">
        <v>25</v>
      </c>
      <c r="B103" s="83">
        <f t="shared" si="75"/>
        <v>0</v>
      </c>
      <c r="C103" s="83">
        <f t="shared" si="75"/>
        <v>0</v>
      </c>
      <c r="D103" s="83">
        <f t="shared" si="75"/>
        <v>0</v>
      </c>
      <c r="E103" s="83">
        <f t="shared" si="75"/>
        <v>0</v>
      </c>
      <c r="F103" s="83">
        <f t="shared" si="75"/>
        <v>0</v>
      </c>
      <c r="G103" s="83">
        <f t="shared" si="75"/>
        <v>0</v>
      </c>
      <c r="H103" s="83">
        <f t="shared" si="75"/>
        <v>0</v>
      </c>
    </row>
    <row r="104" spans="1:8">
      <c r="A104" s="75" t="s">
        <v>46</v>
      </c>
      <c r="B104" s="83">
        <f t="shared" si="75"/>
        <v>0</v>
      </c>
      <c r="C104" s="83">
        <f t="shared" si="75"/>
        <v>0</v>
      </c>
      <c r="D104" s="83">
        <f t="shared" si="75"/>
        <v>0</v>
      </c>
      <c r="E104" s="83">
        <f t="shared" si="75"/>
        <v>0</v>
      </c>
      <c r="F104" s="83">
        <f t="shared" si="75"/>
        <v>0</v>
      </c>
      <c r="G104" s="83">
        <f t="shared" si="75"/>
        <v>0</v>
      </c>
      <c r="H104" s="83">
        <f t="shared" si="75"/>
        <v>0</v>
      </c>
    </row>
    <row r="105" spans="1:8">
      <c r="A105" s="75" t="s">
        <v>12</v>
      </c>
      <c r="B105" s="83">
        <f t="shared" si="75"/>
        <v>0</v>
      </c>
      <c r="C105" s="83">
        <f t="shared" si="75"/>
        <v>0</v>
      </c>
      <c r="D105" s="83">
        <f t="shared" si="75"/>
        <v>0</v>
      </c>
      <c r="E105" s="83">
        <f t="shared" si="75"/>
        <v>0</v>
      </c>
      <c r="F105" s="83">
        <f t="shared" si="75"/>
        <v>0</v>
      </c>
      <c r="G105" s="83">
        <f t="shared" si="75"/>
        <v>0</v>
      </c>
      <c r="H105" s="83">
        <f t="shared" si="75"/>
        <v>0</v>
      </c>
    </row>
    <row r="106" spans="1:8">
      <c r="A106" s="75" t="s">
        <v>27</v>
      </c>
      <c r="B106" s="83">
        <f t="shared" si="75"/>
        <v>0</v>
      </c>
      <c r="C106" s="83">
        <f t="shared" si="75"/>
        <v>0</v>
      </c>
      <c r="D106" s="83">
        <f t="shared" si="75"/>
        <v>0</v>
      </c>
      <c r="E106" s="83">
        <f t="shared" si="75"/>
        <v>0</v>
      </c>
      <c r="F106" s="83">
        <f t="shared" si="75"/>
        <v>0</v>
      </c>
      <c r="G106" s="83">
        <f t="shared" si="75"/>
        <v>0</v>
      </c>
      <c r="H106" s="83">
        <f t="shared" si="75"/>
        <v>0</v>
      </c>
    </row>
    <row r="107" spans="1:8">
      <c r="A107" s="75" t="s">
        <v>47</v>
      </c>
      <c r="B107" s="83">
        <f t="shared" si="75"/>
        <v>0</v>
      </c>
      <c r="C107" s="83">
        <f t="shared" si="75"/>
        <v>0</v>
      </c>
      <c r="D107" s="83">
        <f t="shared" si="75"/>
        <v>0</v>
      </c>
      <c r="E107" s="83">
        <f t="shared" si="75"/>
        <v>0</v>
      </c>
      <c r="F107" s="83">
        <f t="shared" si="75"/>
        <v>0</v>
      </c>
      <c r="G107" s="83">
        <f t="shared" si="75"/>
        <v>0</v>
      </c>
      <c r="H107" s="83">
        <f t="shared" si="75"/>
        <v>0</v>
      </c>
    </row>
    <row r="108" spans="1:8">
      <c r="A108" s="75" t="s">
        <v>12</v>
      </c>
      <c r="B108" s="83">
        <f t="shared" si="75"/>
        <v>0</v>
      </c>
      <c r="C108" s="83">
        <f t="shared" si="75"/>
        <v>0</v>
      </c>
      <c r="D108" s="83">
        <f t="shared" si="75"/>
        <v>0</v>
      </c>
      <c r="E108" s="83">
        <f t="shared" si="75"/>
        <v>0</v>
      </c>
      <c r="F108" s="83">
        <f t="shared" si="75"/>
        <v>0</v>
      </c>
      <c r="G108" s="83">
        <f t="shared" si="75"/>
        <v>0</v>
      </c>
      <c r="H108" s="83">
        <f t="shared" si="75"/>
        <v>0</v>
      </c>
    </row>
    <row r="109" spans="1:8">
      <c r="A109" s="75" t="s">
        <v>29</v>
      </c>
      <c r="B109" s="83">
        <f t="shared" si="75"/>
        <v>0</v>
      </c>
      <c r="C109" s="83">
        <f t="shared" si="75"/>
        <v>0</v>
      </c>
      <c r="D109" s="83">
        <f t="shared" si="75"/>
        <v>0</v>
      </c>
      <c r="E109" s="83">
        <f t="shared" si="75"/>
        <v>0</v>
      </c>
      <c r="F109" s="83">
        <f t="shared" si="75"/>
        <v>0</v>
      </c>
      <c r="G109" s="83">
        <f t="shared" si="75"/>
        <v>0</v>
      </c>
      <c r="H109" s="83">
        <f t="shared" si="75"/>
        <v>0</v>
      </c>
    </row>
    <row r="110" spans="1:8">
      <c r="A110" s="75" t="s">
        <v>48</v>
      </c>
      <c r="B110" s="83">
        <f t="shared" si="75"/>
        <v>0</v>
      </c>
      <c r="C110" s="83">
        <f t="shared" si="75"/>
        <v>0</v>
      </c>
      <c r="D110" s="83">
        <f t="shared" si="75"/>
        <v>0</v>
      </c>
      <c r="E110" s="83">
        <f t="shared" si="75"/>
        <v>0</v>
      </c>
      <c r="F110" s="83">
        <f t="shared" si="75"/>
        <v>0</v>
      </c>
      <c r="G110" s="83">
        <f t="shared" si="75"/>
        <v>0</v>
      </c>
      <c r="H110" s="83">
        <f t="shared" si="75"/>
        <v>0</v>
      </c>
    </row>
    <row r="111" spans="1:8">
      <c r="A111" s="75" t="s">
        <v>12</v>
      </c>
      <c r="B111" s="83">
        <f t="shared" si="75"/>
        <v>0</v>
      </c>
      <c r="C111" s="83">
        <f t="shared" si="75"/>
        <v>0</v>
      </c>
      <c r="D111" s="83">
        <f t="shared" si="75"/>
        <v>0</v>
      </c>
      <c r="E111" s="83">
        <f t="shared" si="75"/>
        <v>0</v>
      </c>
      <c r="F111" s="83">
        <f t="shared" si="75"/>
        <v>0</v>
      </c>
      <c r="G111" s="83">
        <f t="shared" si="75"/>
        <v>0</v>
      </c>
      <c r="H111" s="83">
        <f t="shared" si="75"/>
        <v>0</v>
      </c>
    </row>
    <row r="112" spans="1:8">
      <c r="A112" s="75" t="s">
        <v>31</v>
      </c>
      <c r="B112" s="83">
        <f t="shared" si="75"/>
        <v>0</v>
      </c>
      <c r="C112" s="83">
        <f t="shared" si="75"/>
        <v>0</v>
      </c>
      <c r="D112" s="83">
        <f t="shared" si="75"/>
        <v>0</v>
      </c>
      <c r="E112" s="83">
        <f t="shared" si="75"/>
        <v>0</v>
      </c>
      <c r="F112" s="83">
        <f t="shared" si="75"/>
        <v>0</v>
      </c>
      <c r="G112" s="83">
        <f t="shared" si="75"/>
        <v>0</v>
      </c>
      <c r="H112" s="83">
        <f t="shared" si="75"/>
        <v>0</v>
      </c>
    </row>
    <row r="113" spans="1:8">
      <c r="A113" s="75" t="s">
        <v>52</v>
      </c>
      <c r="B113" s="83">
        <f t="shared" si="75"/>
        <v>0</v>
      </c>
      <c r="C113" s="83">
        <f t="shared" si="75"/>
        <v>0</v>
      </c>
      <c r="D113" s="83">
        <f t="shared" si="75"/>
        <v>0</v>
      </c>
      <c r="E113" s="83">
        <f t="shared" si="75"/>
        <v>0</v>
      </c>
      <c r="F113" s="83">
        <f t="shared" si="75"/>
        <v>0</v>
      </c>
      <c r="G113" s="83">
        <f t="shared" si="75"/>
        <v>0</v>
      </c>
      <c r="H113" s="83">
        <f t="shared" si="75"/>
        <v>0</v>
      </c>
    </row>
    <row r="114" spans="1:8">
      <c r="A114" s="75" t="s">
        <v>12</v>
      </c>
      <c r="B114" s="83">
        <f t="shared" si="75"/>
        <v>0</v>
      </c>
      <c r="C114" s="83">
        <f t="shared" si="75"/>
        <v>0</v>
      </c>
      <c r="D114" s="83">
        <f t="shared" si="75"/>
        <v>0</v>
      </c>
      <c r="E114" s="83">
        <f t="shared" si="75"/>
        <v>0</v>
      </c>
      <c r="F114" s="83">
        <f t="shared" si="75"/>
        <v>0</v>
      </c>
      <c r="G114" s="83">
        <f t="shared" si="75"/>
        <v>0</v>
      </c>
      <c r="H114" s="83">
        <f t="shared" si="75"/>
        <v>0</v>
      </c>
    </row>
  </sheetData>
  <mergeCells count="18">
    <mergeCell ref="A19:H19"/>
    <mergeCell ref="J19:Q19"/>
    <mergeCell ref="R19:Y19"/>
    <mergeCell ref="AA19:AH19"/>
    <mergeCell ref="AJ19:AQ19"/>
    <mergeCell ref="A1:H1"/>
    <mergeCell ref="E2:H2"/>
    <mergeCell ref="A3:H3"/>
    <mergeCell ref="AJ8:AQ8"/>
    <mergeCell ref="A12:H12"/>
    <mergeCell ref="J12:Q12"/>
    <mergeCell ref="R12:Y12"/>
    <mergeCell ref="AA12:AH12"/>
    <mergeCell ref="AJ12:AQ12"/>
    <mergeCell ref="AA8:AH8"/>
    <mergeCell ref="A8:H8"/>
    <mergeCell ref="J8:Q8"/>
    <mergeCell ref="R8:Y8"/>
  </mergeCells>
  <phoneticPr fontId="17" type="noConversion"/>
  <pageMargins left="0.43" right="0.34" top="0.22" bottom="0.42" header="0.11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3"/>
  <dimension ref="A1:AU114"/>
  <sheetViews>
    <sheetView zoomScale="102" zoomScaleNormal="102" workbookViewId="0">
      <selection activeCell="A9" sqref="A9:AQ40"/>
    </sheetView>
  </sheetViews>
  <sheetFormatPr defaultRowHeight="13.2"/>
  <cols>
    <col min="1" max="1" width="15.109375" customWidth="1"/>
    <col min="2" max="2" width="7.33203125" customWidth="1"/>
    <col min="3" max="3" width="7.6640625" customWidth="1"/>
    <col min="5" max="5" width="6.6640625" customWidth="1"/>
    <col min="6" max="6" width="7.33203125" customWidth="1"/>
    <col min="7" max="7" width="7.6640625" customWidth="1"/>
    <col min="8" max="8" width="7.88671875" customWidth="1"/>
    <col min="9" max="9" width="4.88671875" customWidth="1"/>
    <col min="10" max="10" width="14.109375" customWidth="1"/>
    <col min="11" max="11" width="7.109375" customWidth="1"/>
    <col min="12" max="12" width="7.33203125" customWidth="1"/>
    <col min="14" max="14" width="6" customWidth="1"/>
    <col min="15" max="15" width="7.5546875" customWidth="1"/>
    <col min="16" max="16" width="7.88671875" customWidth="1"/>
    <col min="17" max="17" width="7" customWidth="1"/>
    <col min="18" max="18" width="14.5546875" customWidth="1"/>
    <col min="19" max="19" width="6.88671875" customWidth="1"/>
    <col min="20" max="20" width="7.33203125" customWidth="1"/>
    <col min="22" max="22" width="6.88671875" customWidth="1"/>
    <col min="23" max="23" width="7.5546875" customWidth="1"/>
    <col min="24" max="24" width="8.33203125" customWidth="1"/>
    <col min="25" max="25" width="7.33203125" customWidth="1"/>
    <col min="26" max="26" width="4.33203125" customWidth="1"/>
    <col min="27" max="27" width="14.88671875" customWidth="1"/>
    <col min="28" max="28" width="7" customWidth="1"/>
    <col min="29" max="29" width="8.109375" customWidth="1"/>
    <col min="31" max="31" width="7.33203125" customWidth="1"/>
    <col min="32" max="32" width="7.5546875" customWidth="1"/>
    <col min="33" max="33" width="7.88671875" customWidth="1"/>
    <col min="34" max="34" width="7" customWidth="1"/>
  </cols>
  <sheetData>
    <row r="1" spans="1:47" s="37" customFormat="1" ht="15.6">
      <c r="Q1" s="38" t="s">
        <v>33</v>
      </c>
    </row>
    <row r="2" spans="1:47" s="12" customFormat="1" ht="15.75" customHeight="1">
      <c r="H2" s="39" t="s">
        <v>34</v>
      </c>
    </row>
    <row r="3" spans="1:47" s="12" customFormat="1" ht="18.75" customHeight="1">
      <c r="H3" s="39" t="s">
        <v>42</v>
      </c>
    </row>
    <row r="4" spans="1:47" s="37" customFormat="1" ht="34.5" customHeight="1">
      <c r="A4" s="494" t="s">
        <v>120</v>
      </c>
      <c r="B4" s="494"/>
      <c r="C4" s="494"/>
      <c r="D4" s="494"/>
      <c r="E4" s="494"/>
      <c r="F4" s="494"/>
      <c r="G4" s="494"/>
      <c r="H4" s="494"/>
      <c r="I4" s="40"/>
      <c r="J4" s="40"/>
      <c r="K4" s="12"/>
      <c r="L4" s="12"/>
      <c r="M4" s="12"/>
      <c r="N4" s="12"/>
      <c r="O4" s="12"/>
      <c r="P4" s="12"/>
      <c r="Q4" s="12"/>
    </row>
    <row r="5" spans="1:47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47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  <c r="AU6" s="11"/>
    </row>
    <row r="7" spans="1:47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  <c r="AU7" s="11"/>
    </row>
    <row r="8" spans="1:47" s="115" customFormat="1">
      <c r="A8" s="469" t="s">
        <v>17</v>
      </c>
      <c r="B8" s="470"/>
      <c r="C8" s="470"/>
      <c r="D8" s="470"/>
      <c r="E8" s="470"/>
      <c r="F8" s="470"/>
      <c r="G8" s="470"/>
      <c r="H8" s="471"/>
      <c r="J8" s="469" t="s">
        <v>17</v>
      </c>
      <c r="K8" s="470"/>
      <c r="L8" s="470"/>
      <c r="M8" s="470"/>
      <c r="N8" s="470"/>
      <c r="O8" s="470"/>
      <c r="P8" s="470"/>
      <c r="Q8" s="471"/>
      <c r="R8" s="469" t="s">
        <v>17</v>
      </c>
      <c r="S8" s="470"/>
      <c r="T8" s="470"/>
      <c r="U8" s="470"/>
      <c r="V8" s="470"/>
      <c r="W8" s="470"/>
      <c r="X8" s="470"/>
      <c r="Y8" s="471"/>
      <c r="AA8" s="469" t="s">
        <v>17</v>
      </c>
      <c r="AB8" s="470"/>
      <c r="AC8" s="470"/>
      <c r="AD8" s="470"/>
      <c r="AE8" s="470"/>
      <c r="AF8" s="470"/>
      <c r="AG8" s="470"/>
      <c r="AH8" s="471"/>
      <c r="AJ8" s="469" t="s">
        <v>17</v>
      </c>
      <c r="AK8" s="470"/>
      <c r="AL8" s="470"/>
      <c r="AM8" s="470"/>
      <c r="AN8" s="470"/>
      <c r="AO8" s="470"/>
      <c r="AP8" s="470"/>
      <c r="AQ8" s="471"/>
    </row>
    <row r="9" spans="1:47" s="115" customFormat="1">
      <c r="A9" s="33" t="s">
        <v>18</v>
      </c>
      <c r="B9" s="128">
        <f>SUM(B13,B20)</f>
        <v>550.1</v>
      </c>
      <c r="C9" s="129">
        <f>SUM(C13,C20)</f>
        <v>53938</v>
      </c>
      <c r="D9" s="129">
        <f>SUM(E9:H9)</f>
        <v>47114</v>
      </c>
      <c r="E9" s="129">
        <f t="shared" ref="E9:H10" si="0">SUM(E13,E20)</f>
        <v>14467</v>
      </c>
      <c r="F9" s="129">
        <f t="shared" si="0"/>
        <v>11035</v>
      </c>
      <c r="G9" s="129">
        <f t="shared" si="0"/>
        <v>1797</v>
      </c>
      <c r="H9" s="129">
        <f t="shared" si="0"/>
        <v>19815</v>
      </c>
      <c r="J9" s="33" t="s">
        <v>18</v>
      </c>
      <c r="K9" s="128">
        <f>SUM(K13,K20)</f>
        <v>105.30000000000001</v>
      </c>
      <c r="L9" s="129">
        <f>SUM(L13,L20)</f>
        <v>5115</v>
      </c>
      <c r="M9" s="129">
        <f>SUM(N9:Q9)</f>
        <v>4216</v>
      </c>
      <c r="N9" s="129">
        <f t="shared" ref="N9:Q10" si="1">SUM(N13,N20)</f>
        <v>651</v>
      </c>
      <c r="O9" s="129">
        <f t="shared" si="1"/>
        <v>1135</v>
      </c>
      <c r="P9" s="129">
        <f t="shared" si="1"/>
        <v>229</v>
      </c>
      <c r="Q9" s="129">
        <f t="shared" si="1"/>
        <v>2201</v>
      </c>
      <c r="R9" s="33" t="s">
        <v>18</v>
      </c>
      <c r="S9" s="128">
        <f>SUM(S13,S20)</f>
        <v>443.9</v>
      </c>
      <c r="T9" s="129">
        <f>SUM(T13,T20)</f>
        <v>48737</v>
      </c>
      <c r="U9" s="129">
        <f>SUM(V9:Y9)</f>
        <v>42824</v>
      </c>
      <c r="V9" s="129">
        <f t="shared" ref="V9:Y10" si="2">SUM(V13,V20)</f>
        <v>13803</v>
      </c>
      <c r="W9" s="129">
        <f t="shared" si="2"/>
        <v>9885</v>
      </c>
      <c r="X9" s="129">
        <f t="shared" si="2"/>
        <v>1564</v>
      </c>
      <c r="Y9" s="129">
        <f t="shared" si="2"/>
        <v>17572</v>
      </c>
      <c r="AA9" s="33" t="s">
        <v>18</v>
      </c>
      <c r="AB9" s="129">
        <f>SUM(AB13,AB20)</f>
        <v>122.5</v>
      </c>
      <c r="AC9" s="129">
        <f>SUM(AC13,AC20)</f>
        <v>23847</v>
      </c>
      <c r="AD9" s="129">
        <f>SUM(AE9:AH9)</f>
        <v>21167</v>
      </c>
      <c r="AE9" s="129">
        <f t="shared" ref="AE9:AH10" si="3">SUM(AE13,AE20)</f>
        <v>11966</v>
      </c>
      <c r="AF9" s="129">
        <f t="shared" si="3"/>
        <v>3800</v>
      </c>
      <c r="AG9" s="129">
        <f t="shared" si="3"/>
        <v>373</v>
      </c>
      <c r="AH9" s="129">
        <f t="shared" si="3"/>
        <v>5028</v>
      </c>
      <c r="AJ9" s="33" t="s">
        <v>18</v>
      </c>
      <c r="AK9" s="128">
        <f>SUM(AK13,AK23,AK26,AK29,AK32,AK36,AK35,AK38)</f>
        <v>1.2000000000000002</v>
      </c>
      <c r="AL9" s="129">
        <f>SUM(AL13,AL20)</f>
        <v>86</v>
      </c>
      <c r="AM9" s="129">
        <f>SUM(AN9:AQ9)</f>
        <v>74</v>
      </c>
      <c r="AN9" s="129">
        <f t="shared" ref="AN9:AQ10" si="4">SUM(AN13,AN20)</f>
        <v>13</v>
      </c>
      <c r="AO9" s="129">
        <f t="shared" si="4"/>
        <v>15</v>
      </c>
      <c r="AP9" s="129">
        <f t="shared" si="4"/>
        <v>4</v>
      </c>
      <c r="AQ9" s="129">
        <f t="shared" si="4"/>
        <v>42</v>
      </c>
    </row>
    <row r="10" spans="1:47" s="115" customFormat="1">
      <c r="A10" s="7" t="s">
        <v>19</v>
      </c>
      <c r="B10" s="130">
        <f>SUM(B14,B21)</f>
        <v>847.4</v>
      </c>
      <c r="C10" s="131">
        <f>SUM(C14,C21)</f>
        <v>58644</v>
      </c>
      <c r="D10" s="131">
        <f>SUM(E10:H10)</f>
        <v>53255</v>
      </c>
      <c r="E10" s="131">
        <f t="shared" si="0"/>
        <v>10284</v>
      </c>
      <c r="F10" s="131">
        <f t="shared" si="0"/>
        <v>10947</v>
      </c>
      <c r="G10" s="131">
        <f t="shared" si="0"/>
        <v>2209</v>
      </c>
      <c r="H10" s="131">
        <f t="shared" si="0"/>
        <v>29815</v>
      </c>
      <c r="J10" s="7" t="s">
        <v>19</v>
      </c>
      <c r="K10" s="130">
        <f>SUM(K14,K21)</f>
        <v>271.90000000000003</v>
      </c>
      <c r="L10" s="131">
        <f>SUM(L14,L21)</f>
        <v>9974</v>
      </c>
      <c r="M10" s="131">
        <f>SUM(N10:Q10)</f>
        <v>9497</v>
      </c>
      <c r="N10" s="131">
        <f t="shared" si="1"/>
        <v>935</v>
      </c>
      <c r="O10" s="131">
        <f t="shared" si="1"/>
        <v>1603</v>
      </c>
      <c r="P10" s="131">
        <f t="shared" si="1"/>
        <v>155</v>
      </c>
      <c r="Q10" s="131">
        <f t="shared" si="1"/>
        <v>6804</v>
      </c>
      <c r="R10" s="7" t="s">
        <v>19</v>
      </c>
      <c r="S10" s="131">
        <f>SUM(S14,S21)</f>
        <v>528.6</v>
      </c>
      <c r="T10" s="131">
        <f>SUM(T14,T21)</f>
        <v>46604</v>
      </c>
      <c r="U10" s="131">
        <f>SUM(V10:Y10)</f>
        <v>42021</v>
      </c>
      <c r="V10" s="131">
        <f t="shared" si="2"/>
        <v>9247</v>
      </c>
      <c r="W10" s="131">
        <f t="shared" si="2"/>
        <v>9270</v>
      </c>
      <c r="X10" s="131">
        <f t="shared" si="2"/>
        <v>2054</v>
      </c>
      <c r="Y10" s="131">
        <f t="shared" si="2"/>
        <v>21450</v>
      </c>
      <c r="AA10" s="7" t="s">
        <v>19</v>
      </c>
      <c r="AB10" s="130">
        <f>SUM(AB14,AB21)</f>
        <v>37.4</v>
      </c>
      <c r="AC10" s="131">
        <f>SUM(AC14,AC21)</f>
        <v>9894</v>
      </c>
      <c r="AD10" s="131">
        <f>SUM(AE10:AH10)</f>
        <v>9534</v>
      </c>
      <c r="AE10" s="131">
        <f t="shared" si="3"/>
        <v>6450</v>
      </c>
      <c r="AF10" s="131">
        <f t="shared" si="3"/>
        <v>871</v>
      </c>
      <c r="AG10" s="131">
        <f t="shared" si="3"/>
        <v>330</v>
      </c>
      <c r="AH10" s="131">
        <f t="shared" si="3"/>
        <v>1883</v>
      </c>
      <c r="AJ10" s="7" t="s">
        <v>19</v>
      </c>
      <c r="AK10" s="130">
        <f>SUM(AK14,AK21)</f>
        <v>46.9</v>
      </c>
      <c r="AL10" s="131">
        <f>SUM(AL14,AL21)</f>
        <v>2066</v>
      </c>
      <c r="AM10" s="131">
        <f>SUM(AN10:AQ10)</f>
        <v>1737</v>
      </c>
      <c r="AN10" s="131">
        <f t="shared" si="4"/>
        <v>102</v>
      </c>
      <c r="AO10" s="131">
        <f t="shared" si="4"/>
        <v>74</v>
      </c>
      <c r="AP10" s="131">
        <f t="shared" si="4"/>
        <v>0</v>
      </c>
      <c r="AQ10" s="131">
        <f t="shared" si="4"/>
        <v>1561</v>
      </c>
    </row>
    <row r="11" spans="1:47" s="115" customFormat="1">
      <c r="A11" s="33" t="s">
        <v>20</v>
      </c>
      <c r="B11" s="132">
        <f t="shared" ref="B11:H11" si="5">B10/B9%</f>
        <v>154.04471914197418</v>
      </c>
      <c r="C11" s="132">
        <f t="shared" si="5"/>
        <v>108.7248322147651</v>
      </c>
      <c r="D11" s="132">
        <f t="shared" si="5"/>
        <v>113.03434223373095</v>
      </c>
      <c r="E11" s="132">
        <f t="shared" si="5"/>
        <v>71.085919679270063</v>
      </c>
      <c r="F11" s="132">
        <f t="shared" si="5"/>
        <v>99.202537381060267</v>
      </c>
      <c r="G11" s="132">
        <f t="shared" si="5"/>
        <v>122.92710072342794</v>
      </c>
      <c r="H11" s="132">
        <f t="shared" si="5"/>
        <v>150.46681806712087</v>
      </c>
      <c r="J11" s="33" t="s">
        <v>20</v>
      </c>
      <c r="K11" s="130">
        <f t="shared" ref="K11:Q11" si="6">K10/K9%</f>
        <v>258.21462488129151</v>
      </c>
      <c r="L11" s="132">
        <f t="shared" si="6"/>
        <v>194.99511241446726</v>
      </c>
      <c r="M11" s="132">
        <f t="shared" si="6"/>
        <v>225.2609108159393</v>
      </c>
      <c r="N11" s="132">
        <f t="shared" si="6"/>
        <v>143.62519201228878</v>
      </c>
      <c r="O11" s="132">
        <f t="shared" si="6"/>
        <v>141.23348017621146</v>
      </c>
      <c r="P11" s="132">
        <f t="shared" si="6"/>
        <v>67.685589519650648</v>
      </c>
      <c r="Q11" s="132">
        <f t="shared" si="6"/>
        <v>309.1322126306224</v>
      </c>
      <c r="R11" s="33" t="s">
        <v>20</v>
      </c>
      <c r="S11" s="132">
        <f t="shared" ref="S11:Y11" si="7">S10/S9%</f>
        <v>119.08087407073666</v>
      </c>
      <c r="T11" s="132">
        <f t="shared" si="7"/>
        <v>95.623448304163162</v>
      </c>
      <c r="U11" s="132">
        <f t="shared" si="7"/>
        <v>98.124883243041282</v>
      </c>
      <c r="V11" s="132">
        <f t="shared" si="7"/>
        <v>66.992682750126789</v>
      </c>
      <c r="W11" s="132">
        <f t="shared" si="7"/>
        <v>93.778452200303491</v>
      </c>
      <c r="X11" s="132">
        <f t="shared" si="7"/>
        <v>131.32992327365727</v>
      </c>
      <c r="Y11" s="132">
        <f t="shared" si="7"/>
        <v>122.06920100159344</v>
      </c>
      <c r="AA11" s="33" t="s">
        <v>20</v>
      </c>
      <c r="AB11" s="132">
        <f t="shared" ref="AB11:AH11" si="8">AB10/AB9%</f>
        <v>30.530612244897956</v>
      </c>
      <c r="AC11" s="132">
        <f t="shared" si="8"/>
        <v>41.489495534029437</v>
      </c>
      <c r="AD11" s="132">
        <f t="shared" si="8"/>
        <v>45.041810365191104</v>
      </c>
      <c r="AE11" s="132">
        <f t="shared" si="8"/>
        <v>53.902724385759655</v>
      </c>
      <c r="AF11" s="132">
        <f t="shared" si="8"/>
        <v>22.921052631578949</v>
      </c>
      <c r="AG11" s="132">
        <f t="shared" si="8"/>
        <v>88.471849865951739</v>
      </c>
      <c r="AH11" s="132">
        <f t="shared" si="8"/>
        <v>37.4502784407319</v>
      </c>
      <c r="AJ11" s="33" t="s">
        <v>20</v>
      </c>
      <c r="AK11" s="132">
        <f t="shared" ref="AK11:AQ11" si="9">AK10/AK9%</f>
        <v>3908.3333333333326</v>
      </c>
      <c r="AL11" s="132">
        <f t="shared" si="9"/>
        <v>2402.3255813953488</v>
      </c>
      <c r="AM11" s="132">
        <f t="shared" si="9"/>
        <v>2347.2972972972975</v>
      </c>
      <c r="AN11" s="132">
        <f t="shared" si="9"/>
        <v>784.61538461538464</v>
      </c>
      <c r="AO11" s="132">
        <f t="shared" si="9"/>
        <v>493.33333333333337</v>
      </c>
      <c r="AP11" s="132">
        <f t="shared" si="9"/>
        <v>0</v>
      </c>
      <c r="AQ11" s="132">
        <f t="shared" si="9"/>
        <v>3716.666666666667</v>
      </c>
    </row>
    <row r="12" spans="1:47" s="201" customFormat="1" ht="12.75" customHeight="1">
      <c r="A12" s="461" t="s">
        <v>11</v>
      </c>
      <c r="B12" s="462"/>
      <c r="C12" s="462"/>
      <c r="D12" s="462"/>
      <c r="E12" s="462"/>
      <c r="F12" s="462"/>
      <c r="G12" s="462"/>
      <c r="H12" s="463"/>
      <c r="J12" s="461" t="s">
        <v>11</v>
      </c>
      <c r="K12" s="462"/>
      <c r="L12" s="462"/>
      <c r="M12" s="462"/>
      <c r="N12" s="462"/>
      <c r="O12" s="462"/>
      <c r="P12" s="462"/>
      <c r="Q12" s="463"/>
      <c r="R12" s="461" t="s">
        <v>11</v>
      </c>
      <c r="S12" s="462"/>
      <c r="T12" s="462"/>
      <c r="U12" s="462"/>
      <c r="V12" s="462"/>
      <c r="W12" s="462"/>
      <c r="X12" s="462"/>
      <c r="Y12" s="463"/>
      <c r="AA12" s="461" t="s">
        <v>11</v>
      </c>
      <c r="AB12" s="462"/>
      <c r="AC12" s="462"/>
      <c r="AD12" s="462"/>
      <c r="AE12" s="462"/>
      <c r="AF12" s="462"/>
      <c r="AG12" s="462"/>
      <c r="AH12" s="463"/>
      <c r="AJ12" s="461" t="s">
        <v>11</v>
      </c>
      <c r="AK12" s="462"/>
      <c r="AL12" s="462"/>
      <c r="AM12" s="462"/>
      <c r="AN12" s="462"/>
      <c r="AO12" s="462"/>
      <c r="AP12" s="462"/>
      <c r="AQ12" s="463"/>
    </row>
    <row r="13" spans="1:47" s="201" customFormat="1">
      <c r="A13" s="248" t="s">
        <v>18</v>
      </c>
      <c r="B13" s="128">
        <f>SUM(K13,S13,AK13)</f>
        <v>28.099999999999998</v>
      </c>
      <c r="C13" s="133">
        <f>SUM(L13,T13,AL13)</f>
        <v>1862</v>
      </c>
      <c r="D13" s="129">
        <f>SUM(E13:H13)</f>
        <v>1382</v>
      </c>
      <c r="E13" s="133">
        <f t="shared" ref="E13:H14" si="10">SUM(N13,V13,AN13)</f>
        <v>242</v>
      </c>
      <c r="F13" s="133">
        <f t="shared" si="10"/>
        <v>575</v>
      </c>
      <c r="G13" s="133">
        <f t="shared" si="10"/>
        <v>79</v>
      </c>
      <c r="H13" s="133">
        <f t="shared" si="10"/>
        <v>486</v>
      </c>
      <c r="J13" s="248" t="s">
        <v>18</v>
      </c>
      <c r="K13" s="134">
        <v>8.6999999999999993</v>
      </c>
      <c r="L13" s="135">
        <v>548</v>
      </c>
      <c r="M13" s="129">
        <f>SUM(N13:Q13)</f>
        <v>382</v>
      </c>
      <c r="N13" s="135">
        <v>44</v>
      </c>
      <c r="O13" s="135">
        <v>181</v>
      </c>
      <c r="P13" s="135">
        <v>39</v>
      </c>
      <c r="Q13" s="135">
        <v>118</v>
      </c>
      <c r="R13" s="248" t="s">
        <v>18</v>
      </c>
      <c r="S13" s="134">
        <v>19.399999999999999</v>
      </c>
      <c r="T13" s="135">
        <v>1314</v>
      </c>
      <c r="U13" s="129">
        <f>SUM(V13:Y13)</f>
        <v>1000</v>
      </c>
      <c r="V13" s="135">
        <v>198</v>
      </c>
      <c r="W13" s="135">
        <v>394</v>
      </c>
      <c r="X13" s="135">
        <v>40</v>
      </c>
      <c r="Y13" s="135">
        <v>368</v>
      </c>
      <c r="AA13" s="248" t="s">
        <v>18</v>
      </c>
      <c r="AB13" s="135">
        <v>19.399999999999999</v>
      </c>
      <c r="AC13" s="135">
        <v>1314</v>
      </c>
      <c r="AD13" s="129">
        <f>SUM(AE13:AH13)</f>
        <v>1000</v>
      </c>
      <c r="AE13" s="135">
        <v>198</v>
      </c>
      <c r="AF13" s="135">
        <v>394</v>
      </c>
      <c r="AG13" s="135">
        <v>40</v>
      </c>
      <c r="AH13" s="135">
        <v>368</v>
      </c>
      <c r="AJ13" s="248" t="s">
        <v>18</v>
      </c>
      <c r="AK13" s="134"/>
      <c r="AL13" s="135"/>
      <c r="AM13" s="129">
        <f>SUM(AN13:AQ13)</f>
        <v>0</v>
      </c>
      <c r="AN13" s="135"/>
      <c r="AO13" s="135"/>
      <c r="AP13" s="135"/>
      <c r="AQ13" s="135"/>
    </row>
    <row r="14" spans="1:47" s="201" customFormat="1">
      <c r="A14" s="18" t="s">
        <v>19</v>
      </c>
      <c r="B14" s="130">
        <f>SUM(K14,S14,AK14)</f>
        <v>44.5</v>
      </c>
      <c r="C14" s="132">
        <f>SUM(L14,T14,AL14)</f>
        <v>2141</v>
      </c>
      <c r="D14" s="131">
        <f>SUM(E14:H14)</f>
        <v>1799</v>
      </c>
      <c r="E14" s="132">
        <f t="shared" si="10"/>
        <v>111</v>
      </c>
      <c r="F14" s="132">
        <f t="shared" si="10"/>
        <v>102</v>
      </c>
      <c r="G14" s="132">
        <f t="shared" si="10"/>
        <v>1</v>
      </c>
      <c r="H14" s="132">
        <f t="shared" si="10"/>
        <v>1585</v>
      </c>
      <c r="J14" s="18" t="s">
        <v>19</v>
      </c>
      <c r="K14" s="22">
        <v>0.1</v>
      </c>
      <c r="L14" s="43">
        <v>13</v>
      </c>
      <c r="M14" s="131">
        <f>SUM(N14:Q14)</f>
        <v>11</v>
      </c>
      <c r="N14" s="43"/>
      <c r="O14" s="43"/>
      <c r="P14" s="43"/>
      <c r="Q14" s="43">
        <v>11</v>
      </c>
      <c r="R14" s="18" t="s">
        <v>19</v>
      </c>
      <c r="S14" s="22">
        <v>3</v>
      </c>
      <c r="T14" s="43">
        <v>100</v>
      </c>
      <c r="U14" s="131">
        <f>SUM(V14:Y14)</f>
        <v>88</v>
      </c>
      <c r="V14" s="43">
        <v>9</v>
      </c>
      <c r="W14" s="43">
        <v>28</v>
      </c>
      <c r="X14" s="43">
        <v>1</v>
      </c>
      <c r="Y14" s="43">
        <v>50</v>
      </c>
      <c r="AA14" s="18" t="s">
        <v>19</v>
      </c>
      <c r="AB14" s="43">
        <v>3</v>
      </c>
      <c r="AC14" s="43">
        <v>100</v>
      </c>
      <c r="AD14" s="131">
        <f>SUM(AE14:AH14)</f>
        <v>88</v>
      </c>
      <c r="AE14" s="43">
        <v>9</v>
      </c>
      <c r="AF14" s="43">
        <v>28</v>
      </c>
      <c r="AG14" s="43">
        <v>1</v>
      </c>
      <c r="AH14" s="43">
        <v>50</v>
      </c>
      <c r="AJ14" s="18" t="s">
        <v>19</v>
      </c>
      <c r="AK14" s="43">
        <v>41.4</v>
      </c>
      <c r="AL14" s="43">
        <v>2028</v>
      </c>
      <c r="AM14" s="131">
        <f>SUM(AN14:AQ14)</f>
        <v>1700</v>
      </c>
      <c r="AN14" s="43">
        <v>102</v>
      </c>
      <c r="AO14" s="43">
        <v>74</v>
      </c>
      <c r="AP14" s="43"/>
      <c r="AQ14" s="43">
        <v>1524</v>
      </c>
    </row>
    <row r="15" spans="1:47" s="201" customFormat="1">
      <c r="A15" s="248" t="s">
        <v>20</v>
      </c>
      <c r="B15" s="130">
        <f t="shared" ref="B15:H15" si="11">B14/B13%</f>
        <v>158.36298932384344</v>
      </c>
      <c r="C15" s="132">
        <f t="shared" si="11"/>
        <v>114.98388829215897</v>
      </c>
      <c r="D15" s="132">
        <f t="shared" si="11"/>
        <v>130.17366136034732</v>
      </c>
      <c r="E15" s="132">
        <f t="shared" si="11"/>
        <v>45.867768595041326</v>
      </c>
      <c r="F15" s="132">
        <f t="shared" si="11"/>
        <v>17.739130434782609</v>
      </c>
      <c r="G15" s="132">
        <f t="shared" si="11"/>
        <v>1.2658227848101264</v>
      </c>
      <c r="H15" s="132">
        <f t="shared" si="11"/>
        <v>326.13168724279831</v>
      </c>
      <c r="J15" s="248" t="s">
        <v>20</v>
      </c>
      <c r="K15" s="130">
        <f t="shared" ref="K15:Q15" si="12">K14/K13%</f>
        <v>1.149425287356322</v>
      </c>
      <c r="L15" s="132">
        <f t="shared" si="12"/>
        <v>2.3722627737226274</v>
      </c>
      <c r="M15" s="132">
        <f t="shared" si="12"/>
        <v>2.8795811518324608</v>
      </c>
      <c r="N15" s="132">
        <f t="shared" si="12"/>
        <v>0</v>
      </c>
      <c r="O15" s="132">
        <f t="shared" si="12"/>
        <v>0</v>
      </c>
      <c r="P15" s="132">
        <f t="shared" si="12"/>
        <v>0</v>
      </c>
      <c r="Q15" s="132">
        <f t="shared" si="12"/>
        <v>9.3220338983050848</v>
      </c>
      <c r="R15" s="248" t="s">
        <v>20</v>
      </c>
      <c r="S15" s="132">
        <f t="shared" ref="S15:Y15" si="13">S14/S13%</f>
        <v>15.463917525773198</v>
      </c>
      <c r="T15" s="132">
        <f t="shared" si="13"/>
        <v>7.6103500761035008</v>
      </c>
      <c r="U15" s="132">
        <f t="shared" si="13"/>
        <v>8.8000000000000007</v>
      </c>
      <c r="V15" s="132">
        <f t="shared" si="13"/>
        <v>4.5454545454545459</v>
      </c>
      <c r="W15" s="132">
        <f t="shared" si="13"/>
        <v>7.1065989847715736</v>
      </c>
      <c r="X15" s="132">
        <f t="shared" si="13"/>
        <v>2.5</v>
      </c>
      <c r="Y15" s="132">
        <f t="shared" si="13"/>
        <v>13.586956521739129</v>
      </c>
      <c r="AA15" s="248" t="s">
        <v>20</v>
      </c>
      <c r="AB15" s="132">
        <f t="shared" ref="AB15:AH15" si="14">AB14/AB13%</f>
        <v>15.463917525773198</v>
      </c>
      <c r="AC15" s="132">
        <f t="shared" si="14"/>
        <v>7.6103500761035008</v>
      </c>
      <c r="AD15" s="132">
        <f t="shared" si="14"/>
        <v>8.8000000000000007</v>
      </c>
      <c r="AE15" s="132">
        <f t="shared" si="14"/>
        <v>4.5454545454545459</v>
      </c>
      <c r="AF15" s="132">
        <f t="shared" si="14"/>
        <v>7.1065989847715736</v>
      </c>
      <c r="AG15" s="132">
        <f t="shared" si="14"/>
        <v>2.5</v>
      </c>
      <c r="AH15" s="132">
        <f t="shared" si="14"/>
        <v>13.586956521739129</v>
      </c>
      <c r="AJ15" s="248" t="s">
        <v>20</v>
      </c>
      <c r="AK15" s="132" t="e">
        <f t="shared" ref="AK15:AQ15" si="15">AK14/AK13%</f>
        <v>#DIV/0!</v>
      </c>
      <c r="AL15" s="132" t="e">
        <f t="shared" si="15"/>
        <v>#DIV/0!</v>
      </c>
      <c r="AM15" s="132" t="e">
        <f t="shared" si="15"/>
        <v>#DIV/0!</v>
      </c>
      <c r="AN15" s="132" t="e">
        <f t="shared" si="15"/>
        <v>#DIV/0!</v>
      </c>
      <c r="AO15" s="132" t="e">
        <f t="shared" si="15"/>
        <v>#DIV/0!</v>
      </c>
      <c r="AP15" s="132" t="e">
        <f t="shared" si="15"/>
        <v>#DIV/0!</v>
      </c>
      <c r="AQ15" s="132" t="e">
        <f t="shared" si="15"/>
        <v>#DIV/0!</v>
      </c>
    </row>
    <row r="16" spans="1:47" s="201" customFormat="1">
      <c r="A16" s="6" t="s">
        <v>13</v>
      </c>
      <c r="B16" s="136">
        <f t="shared" ref="B16:C18" si="16">SUM(K16,S16,AK16)</f>
        <v>0.9</v>
      </c>
      <c r="C16" s="137">
        <f t="shared" si="16"/>
        <v>21</v>
      </c>
      <c r="D16" s="138">
        <f>SUM(E16:H16)</f>
        <v>19</v>
      </c>
      <c r="E16" s="137">
        <f t="shared" ref="E16:H18" si="17">SUM(N16,V16,AN16)</f>
        <v>3</v>
      </c>
      <c r="F16" s="137">
        <f t="shared" si="17"/>
        <v>4</v>
      </c>
      <c r="G16" s="137">
        <f t="shared" si="17"/>
        <v>0</v>
      </c>
      <c r="H16" s="137">
        <f t="shared" si="17"/>
        <v>12</v>
      </c>
      <c r="J16" s="6" t="s">
        <v>13</v>
      </c>
      <c r="K16" s="248"/>
      <c r="L16" s="248"/>
      <c r="M16" s="248">
        <f>SUM(N16:Q16)</f>
        <v>0</v>
      </c>
      <c r="N16" s="248"/>
      <c r="O16" s="248"/>
      <c r="P16" s="248"/>
      <c r="Q16" s="248"/>
      <c r="R16" s="6" t="s">
        <v>13</v>
      </c>
      <c r="S16" s="248">
        <v>0.9</v>
      </c>
      <c r="T16" s="248">
        <v>21</v>
      </c>
      <c r="U16" s="139">
        <f>SUM(V16:Y16)</f>
        <v>19</v>
      </c>
      <c r="V16" s="248">
        <v>3</v>
      </c>
      <c r="W16" s="248">
        <v>4</v>
      </c>
      <c r="X16" s="248"/>
      <c r="Y16" s="248">
        <v>12</v>
      </c>
      <c r="AA16" s="6" t="s">
        <v>13</v>
      </c>
      <c r="AB16" s="248">
        <v>0.9</v>
      </c>
      <c r="AC16" s="248">
        <v>21</v>
      </c>
      <c r="AD16" s="139">
        <f>SUM(AE16:AH16)</f>
        <v>19</v>
      </c>
      <c r="AE16" s="248">
        <v>3</v>
      </c>
      <c r="AF16" s="248">
        <v>4</v>
      </c>
      <c r="AG16" s="248"/>
      <c r="AH16" s="248">
        <v>12</v>
      </c>
      <c r="AJ16" s="6" t="s">
        <v>13</v>
      </c>
      <c r="AK16" s="248"/>
      <c r="AL16" s="248"/>
      <c r="AM16" s="139">
        <f>SUM(AN16:AQ16)</f>
        <v>0</v>
      </c>
      <c r="AN16" s="248"/>
      <c r="AO16" s="248"/>
      <c r="AP16" s="248"/>
      <c r="AQ16" s="248"/>
    </row>
    <row r="17" spans="1:43" s="201" customFormat="1">
      <c r="A17" s="6" t="s">
        <v>14</v>
      </c>
      <c r="B17" s="136">
        <f t="shared" si="16"/>
        <v>0.7</v>
      </c>
      <c r="C17" s="137">
        <f t="shared" si="16"/>
        <v>49</v>
      </c>
      <c r="D17" s="138">
        <f>SUM(E17:H17)</f>
        <v>49</v>
      </c>
      <c r="E17" s="137">
        <f t="shared" si="17"/>
        <v>0</v>
      </c>
      <c r="F17" s="137">
        <f t="shared" si="17"/>
        <v>0</v>
      </c>
      <c r="G17" s="137">
        <f t="shared" si="17"/>
        <v>0</v>
      </c>
      <c r="H17" s="137">
        <f t="shared" si="17"/>
        <v>49</v>
      </c>
      <c r="J17" s="6" t="s">
        <v>14</v>
      </c>
      <c r="K17" s="248"/>
      <c r="L17" s="248"/>
      <c r="M17" s="248">
        <f>SUM(N17:Q17)</f>
        <v>0</v>
      </c>
      <c r="N17" s="248"/>
      <c r="O17" s="248"/>
      <c r="P17" s="248"/>
      <c r="Q17" s="248"/>
      <c r="R17" s="6" t="s">
        <v>14</v>
      </c>
      <c r="S17" s="248"/>
      <c r="T17" s="248"/>
      <c r="U17" s="139">
        <f>SUM(V17:Y17)</f>
        <v>0</v>
      </c>
      <c r="V17" s="248"/>
      <c r="W17" s="248"/>
      <c r="X17" s="248"/>
      <c r="Y17" s="248"/>
      <c r="AA17" s="6" t="s">
        <v>14</v>
      </c>
      <c r="AB17" s="248"/>
      <c r="AC17" s="248"/>
      <c r="AD17" s="139">
        <f>SUM(AE17:AH17)</f>
        <v>0</v>
      </c>
      <c r="AE17" s="248"/>
      <c r="AF17" s="248"/>
      <c r="AG17" s="248"/>
      <c r="AH17" s="248"/>
      <c r="AJ17" s="6" t="s">
        <v>14</v>
      </c>
      <c r="AK17" s="248">
        <v>0.7</v>
      </c>
      <c r="AL17" s="248">
        <v>49</v>
      </c>
      <c r="AM17" s="139">
        <f>SUM(AN17:AQ17)</f>
        <v>49</v>
      </c>
      <c r="AN17" s="248"/>
      <c r="AO17" s="248"/>
      <c r="AP17" s="248"/>
      <c r="AQ17" s="248">
        <v>49</v>
      </c>
    </row>
    <row r="18" spans="1:43">
      <c r="A18" s="6" t="s">
        <v>15</v>
      </c>
      <c r="B18" s="136">
        <f t="shared" si="16"/>
        <v>0</v>
      </c>
      <c r="C18" s="137">
        <f t="shared" si="16"/>
        <v>0</v>
      </c>
      <c r="D18" s="138">
        <f>SUM(E18:H18)</f>
        <v>0</v>
      </c>
      <c r="E18" s="137">
        <f t="shared" si="17"/>
        <v>0</v>
      </c>
      <c r="F18" s="137">
        <f t="shared" si="17"/>
        <v>0</v>
      </c>
      <c r="G18" s="137">
        <f t="shared" si="17"/>
        <v>0</v>
      </c>
      <c r="H18" s="137">
        <f t="shared" si="17"/>
        <v>0</v>
      </c>
      <c r="J18" s="6" t="s">
        <v>15</v>
      </c>
      <c r="K18" s="248"/>
      <c r="L18" s="248"/>
      <c r="M18" s="248">
        <f>SUM(N18:Q18)</f>
        <v>0</v>
      </c>
      <c r="N18" s="248"/>
      <c r="O18" s="248"/>
      <c r="P18" s="248"/>
      <c r="Q18" s="248"/>
      <c r="R18" s="6" t="s">
        <v>15</v>
      </c>
      <c r="S18" s="248"/>
      <c r="T18" s="248"/>
      <c r="U18" s="139">
        <f>SUM(V18:Y18)</f>
        <v>0</v>
      </c>
      <c r="V18" s="248"/>
      <c r="W18" s="248"/>
      <c r="X18" s="248"/>
      <c r="Y18" s="248"/>
      <c r="Z18" s="201"/>
      <c r="AA18" s="6" t="s">
        <v>15</v>
      </c>
      <c r="AB18" s="248"/>
      <c r="AC18" s="248"/>
      <c r="AD18" s="139">
        <f>SUM(AE18:AH18)</f>
        <v>0</v>
      </c>
      <c r="AE18" s="248"/>
      <c r="AF18" s="248"/>
      <c r="AG18" s="248"/>
      <c r="AH18" s="248"/>
      <c r="AI18" s="201"/>
      <c r="AJ18" s="6" t="s">
        <v>15</v>
      </c>
      <c r="AK18" s="248"/>
      <c r="AL18" s="248"/>
      <c r="AM18" s="139">
        <f>SUM(AN18:AQ18)</f>
        <v>0</v>
      </c>
      <c r="AN18" s="248"/>
      <c r="AO18" s="248"/>
      <c r="AP18" s="248"/>
      <c r="AQ18" s="248"/>
    </row>
    <row r="19" spans="1:43" ht="12.75" customHeight="1">
      <c r="A19" s="461" t="s">
        <v>16</v>
      </c>
      <c r="B19" s="462"/>
      <c r="C19" s="462"/>
      <c r="D19" s="462"/>
      <c r="E19" s="462"/>
      <c r="F19" s="462"/>
      <c r="G19" s="462"/>
      <c r="H19" s="463"/>
      <c r="J19" s="461" t="s">
        <v>16</v>
      </c>
      <c r="K19" s="462"/>
      <c r="L19" s="462"/>
      <c r="M19" s="462"/>
      <c r="N19" s="462"/>
      <c r="O19" s="462"/>
      <c r="P19" s="462"/>
      <c r="Q19" s="463"/>
      <c r="R19" s="461" t="s">
        <v>16</v>
      </c>
      <c r="S19" s="462"/>
      <c r="T19" s="462"/>
      <c r="U19" s="462"/>
      <c r="V19" s="462"/>
      <c r="W19" s="462"/>
      <c r="X19" s="462"/>
      <c r="Y19" s="463"/>
      <c r="Z19" s="201"/>
      <c r="AA19" s="461" t="s">
        <v>16</v>
      </c>
      <c r="AB19" s="462"/>
      <c r="AC19" s="462"/>
      <c r="AD19" s="462"/>
      <c r="AE19" s="462"/>
      <c r="AF19" s="462"/>
      <c r="AG19" s="462"/>
      <c r="AH19" s="463"/>
      <c r="AI19" s="201"/>
      <c r="AJ19" s="461" t="s">
        <v>16</v>
      </c>
      <c r="AK19" s="462"/>
      <c r="AL19" s="462"/>
      <c r="AM19" s="462"/>
      <c r="AN19" s="462"/>
      <c r="AO19" s="462"/>
      <c r="AP19" s="462"/>
      <c r="AQ19" s="463"/>
    </row>
    <row r="20" spans="1:43">
      <c r="A20" s="248" t="s">
        <v>18</v>
      </c>
      <c r="B20" s="128">
        <f>SUM(B23,B26,B29,B32,B35,B38)</f>
        <v>522</v>
      </c>
      <c r="C20" s="129">
        <f>SUM(C23,C26,C29,C32,C35,C38)</f>
        <v>52076</v>
      </c>
      <c r="D20" s="129">
        <f>SUM(E20:H20)</f>
        <v>45732</v>
      </c>
      <c r="E20" s="129">
        <f t="shared" ref="E20:H21" si="18">SUM(E23,E26,E29,E32,E35,E38)</f>
        <v>14225</v>
      </c>
      <c r="F20" s="129">
        <f t="shared" si="18"/>
        <v>10460</v>
      </c>
      <c r="G20" s="129">
        <f t="shared" si="18"/>
        <v>1718</v>
      </c>
      <c r="H20" s="129">
        <f t="shared" si="18"/>
        <v>19329</v>
      </c>
      <c r="J20" s="248" t="s">
        <v>18</v>
      </c>
      <c r="K20" s="128">
        <f>SUM(K23,K26,K29,K32,K35,K38)</f>
        <v>96.600000000000009</v>
      </c>
      <c r="L20" s="129">
        <f t="shared" ref="L20:Q21" si="19">SUM(L23,L26,L29,L32,L35,L38)</f>
        <v>4567</v>
      </c>
      <c r="M20" s="129">
        <f>SUM(N20:Q20)</f>
        <v>3834</v>
      </c>
      <c r="N20" s="129">
        <f t="shared" si="19"/>
        <v>607</v>
      </c>
      <c r="O20" s="129">
        <f t="shared" si="19"/>
        <v>954</v>
      </c>
      <c r="P20" s="129">
        <f t="shared" si="19"/>
        <v>190</v>
      </c>
      <c r="Q20" s="129">
        <f t="shared" si="19"/>
        <v>2083</v>
      </c>
      <c r="R20" s="248" t="s">
        <v>18</v>
      </c>
      <c r="S20" s="128">
        <f>SUM(S23,S26,S29,S32,S35,S38)</f>
        <v>424.5</v>
      </c>
      <c r="T20" s="129">
        <f>SUM(T23,T26,T29,T32,T35,T38)</f>
        <v>47423</v>
      </c>
      <c r="U20" s="129">
        <f>SUM(V20:Y20)</f>
        <v>41824</v>
      </c>
      <c r="V20" s="129">
        <f t="shared" ref="V20:Y21" si="20">SUM(V23,V26,V29,V32,V35,V38)</f>
        <v>13605</v>
      </c>
      <c r="W20" s="129">
        <f t="shared" si="20"/>
        <v>9491</v>
      </c>
      <c r="X20" s="129">
        <f t="shared" si="20"/>
        <v>1524</v>
      </c>
      <c r="Y20" s="129">
        <f t="shared" si="20"/>
        <v>17204</v>
      </c>
      <c r="Z20" s="201"/>
      <c r="AA20" s="248" t="s">
        <v>18</v>
      </c>
      <c r="AB20" s="129">
        <f>SUM(AB23,AB26,AB29,AB32,AB35,AB38)</f>
        <v>103.10000000000001</v>
      </c>
      <c r="AC20" s="129">
        <f>SUM(AC23,AC26,AC29,AC32,AC35,AC38)</f>
        <v>22533</v>
      </c>
      <c r="AD20" s="129">
        <f>SUM(AE20:AH20)</f>
        <v>20167</v>
      </c>
      <c r="AE20" s="129">
        <f t="shared" ref="AE20:AH21" si="21">SUM(AE23,AE26,AE29,AE32,AE35,AE38)</f>
        <v>11768</v>
      </c>
      <c r="AF20" s="129">
        <f t="shared" si="21"/>
        <v>3406</v>
      </c>
      <c r="AG20" s="129">
        <f t="shared" si="21"/>
        <v>333</v>
      </c>
      <c r="AH20" s="129">
        <f t="shared" si="21"/>
        <v>4660</v>
      </c>
      <c r="AI20" s="201"/>
      <c r="AJ20" s="248" t="s">
        <v>18</v>
      </c>
      <c r="AK20" s="135">
        <f>SUM(AK23,AK26,AK29,AK32,AK35,AK38)</f>
        <v>0.9</v>
      </c>
      <c r="AL20" s="135">
        <f>SUM(AL23,AL26,AL29,AL32,AL35,AL38)</f>
        <v>86</v>
      </c>
      <c r="AM20" s="135">
        <f>SUM(AN20:AQ20)</f>
        <v>74</v>
      </c>
      <c r="AN20" s="135">
        <f t="shared" ref="AN20:AQ21" si="22">SUM(AN23,AN26,AN29,AN32,AN35,AN38)</f>
        <v>13</v>
      </c>
      <c r="AO20" s="135">
        <f t="shared" si="22"/>
        <v>15</v>
      </c>
      <c r="AP20" s="135">
        <f t="shared" si="22"/>
        <v>4</v>
      </c>
      <c r="AQ20" s="135">
        <f t="shared" si="22"/>
        <v>42</v>
      </c>
    </row>
    <row r="21" spans="1:43" s="201" customFormat="1">
      <c r="A21" s="18" t="s">
        <v>19</v>
      </c>
      <c r="B21" s="130">
        <f>SUM(B24,B27,B30,B33,B36,B39)</f>
        <v>802.9</v>
      </c>
      <c r="C21" s="131">
        <f>SUM(C24,C27,C30,C33,C36,C39)</f>
        <v>56503</v>
      </c>
      <c r="D21" s="131">
        <f>SUM(E21:H21)</f>
        <v>51456</v>
      </c>
      <c r="E21" s="131">
        <f t="shared" si="18"/>
        <v>10173</v>
      </c>
      <c r="F21" s="131">
        <f t="shared" si="18"/>
        <v>10845</v>
      </c>
      <c r="G21" s="131">
        <f t="shared" si="18"/>
        <v>2208</v>
      </c>
      <c r="H21" s="131">
        <f t="shared" si="18"/>
        <v>28230</v>
      </c>
      <c r="J21" s="18" t="s">
        <v>19</v>
      </c>
      <c r="K21" s="130">
        <f>SUM(K24,K27,K30,K33,K36,K39)</f>
        <v>271.8</v>
      </c>
      <c r="L21" s="131">
        <f t="shared" si="19"/>
        <v>9961</v>
      </c>
      <c r="M21" s="131">
        <f>SUM(N21:Q21)</f>
        <v>9486</v>
      </c>
      <c r="N21" s="131">
        <f t="shared" si="19"/>
        <v>935</v>
      </c>
      <c r="O21" s="131">
        <f t="shared" si="19"/>
        <v>1603</v>
      </c>
      <c r="P21" s="131">
        <f t="shared" si="19"/>
        <v>155</v>
      </c>
      <c r="Q21" s="131">
        <f t="shared" si="19"/>
        <v>6793</v>
      </c>
      <c r="R21" s="18" t="s">
        <v>19</v>
      </c>
      <c r="S21" s="130">
        <f>SUM(S24,S27,S30,S33,S36,S39)</f>
        <v>525.6</v>
      </c>
      <c r="T21" s="131">
        <f>SUM(T24,T27,T30,T33,T36,T39)</f>
        <v>46504</v>
      </c>
      <c r="U21" s="131">
        <f>SUM(V21:Y21)</f>
        <v>41933</v>
      </c>
      <c r="V21" s="131">
        <f t="shared" si="20"/>
        <v>9238</v>
      </c>
      <c r="W21" s="131">
        <f t="shared" si="20"/>
        <v>9242</v>
      </c>
      <c r="X21" s="131">
        <f t="shared" si="20"/>
        <v>2053</v>
      </c>
      <c r="Y21" s="131">
        <f t="shared" si="20"/>
        <v>21400</v>
      </c>
      <c r="AA21" s="18" t="s">
        <v>19</v>
      </c>
      <c r="AB21" s="130">
        <f>SUM(AB24,AB27,AB30,AB33,AB36,AB39)</f>
        <v>34.4</v>
      </c>
      <c r="AC21" s="131">
        <f>SUM(AC24,AC27,AC30,AC33,AC36,AC39)</f>
        <v>9794</v>
      </c>
      <c r="AD21" s="131">
        <f>SUM(AE21:AH21)</f>
        <v>9446</v>
      </c>
      <c r="AE21" s="131">
        <f t="shared" si="21"/>
        <v>6441</v>
      </c>
      <c r="AF21" s="131">
        <f t="shared" si="21"/>
        <v>843</v>
      </c>
      <c r="AG21" s="131">
        <f t="shared" si="21"/>
        <v>329</v>
      </c>
      <c r="AH21" s="131">
        <f t="shared" si="21"/>
        <v>1833</v>
      </c>
      <c r="AJ21" s="18" t="s">
        <v>19</v>
      </c>
      <c r="AK21" s="130">
        <f>SUM(AK24,AK27,AK30,AK33,AK36,AK39)</f>
        <v>5.5</v>
      </c>
      <c r="AL21" s="131">
        <f>SUM(AL24,AL27,AL30,AL33,AL36,AL39)</f>
        <v>38</v>
      </c>
      <c r="AM21" s="131">
        <f>SUM(AN21:AQ21)</f>
        <v>37</v>
      </c>
      <c r="AN21" s="131">
        <f t="shared" si="22"/>
        <v>0</v>
      </c>
      <c r="AO21" s="131">
        <f t="shared" si="22"/>
        <v>0</v>
      </c>
      <c r="AP21" s="131">
        <f t="shared" si="22"/>
        <v>0</v>
      </c>
      <c r="AQ21" s="131">
        <f t="shared" si="22"/>
        <v>37</v>
      </c>
    </row>
    <row r="22" spans="1:43">
      <c r="A22" s="248" t="s">
        <v>20</v>
      </c>
      <c r="B22" s="132">
        <f t="shared" ref="B22:H22" si="23">B21/B20%</f>
        <v>153.81226053639847</v>
      </c>
      <c r="C22" s="132">
        <f t="shared" si="23"/>
        <v>108.501036946002</v>
      </c>
      <c r="D22" s="132">
        <f t="shared" si="23"/>
        <v>112.51639989504068</v>
      </c>
      <c r="E22" s="132">
        <f t="shared" si="23"/>
        <v>71.514938488576448</v>
      </c>
      <c r="F22" s="132">
        <f t="shared" si="23"/>
        <v>103.68068833652008</v>
      </c>
      <c r="G22" s="132">
        <f t="shared" si="23"/>
        <v>128.52153667054716</v>
      </c>
      <c r="H22" s="132">
        <f t="shared" si="23"/>
        <v>146.04997671891977</v>
      </c>
      <c r="J22" s="248" t="s">
        <v>20</v>
      </c>
      <c r="K22" s="132">
        <f t="shared" ref="K22:Q22" si="24">K21/K20%</f>
        <v>281.36645962732916</v>
      </c>
      <c r="L22" s="132">
        <f t="shared" si="24"/>
        <v>218.10816728705933</v>
      </c>
      <c r="M22" s="132">
        <f t="shared" si="24"/>
        <v>247.41784037558682</v>
      </c>
      <c r="N22" s="132">
        <f t="shared" si="24"/>
        <v>154.03624382207579</v>
      </c>
      <c r="O22" s="132">
        <f t="shared" si="24"/>
        <v>168.02935010482182</v>
      </c>
      <c r="P22" s="132">
        <f t="shared" si="24"/>
        <v>81.578947368421055</v>
      </c>
      <c r="Q22" s="132">
        <f t="shared" si="24"/>
        <v>326.1161785885742</v>
      </c>
      <c r="R22" s="248" t="s">
        <v>20</v>
      </c>
      <c r="S22" s="132">
        <f t="shared" ref="S22:Y22" si="25">S21/S20%</f>
        <v>123.81625441696113</v>
      </c>
      <c r="T22" s="132">
        <f t="shared" si="25"/>
        <v>98.062121755266432</v>
      </c>
      <c r="U22" s="132">
        <f t="shared" si="25"/>
        <v>100.26061591430758</v>
      </c>
      <c r="V22" s="132">
        <f t="shared" si="25"/>
        <v>67.901506798970956</v>
      </c>
      <c r="W22" s="132">
        <f t="shared" si="25"/>
        <v>97.37646191128438</v>
      </c>
      <c r="X22" s="132">
        <f t="shared" si="25"/>
        <v>134.71128608923885</v>
      </c>
      <c r="Y22" s="132">
        <f t="shared" si="25"/>
        <v>124.38967681934434</v>
      </c>
      <c r="Z22" s="201"/>
      <c r="AA22" s="248" t="s">
        <v>20</v>
      </c>
      <c r="AB22" s="132">
        <f t="shared" ref="AB22:AH22" si="26">AB21/AB20%</f>
        <v>33.365664403491749</v>
      </c>
      <c r="AC22" s="132">
        <f t="shared" si="26"/>
        <v>43.465140016864154</v>
      </c>
      <c r="AD22" s="132">
        <f t="shared" si="26"/>
        <v>46.838895224872317</v>
      </c>
      <c r="AE22" s="132">
        <f t="shared" si="26"/>
        <v>54.733174711080892</v>
      </c>
      <c r="AF22" s="132">
        <f t="shared" si="26"/>
        <v>24.750440399295361</v>
      </c>
      <c r="AG22" s="132">
        <f t="shared" si="26"/>
        <v>98.798798798798799</v>
      </c>
      <c r="AH22" s="132">
        <f t="shared" si="26"/>
        <v>39.334763948497852</v>
      </c>
      <c r="AI22" s="201"/>
      <c r="AJ22" s="248" t="s">
        <v>20</v>
      </c>
      <c r="AK22" s="132">
        <f t="shared" ref="AK22:AQ22" si="27">AK21/AK20%</f>
        <v>611.11111111111109</v>
      </c>
      <c r="AL22" s="132">
        <f t="shared" si="27"/>
        <v>44.186046511627907</v>
      </c>
      <c r="AM22" s="132">
        <f t="shared" si="27"/>
        <v>50</v>
      </c>
      <c r="AN22" s="132">
        <f t="shared" si="27"/>
        <v>0</v>
      </c>
      <c r="AO22" s="132">
        <f t="shared" si="27"/>
        <v>0</v>
      </c>
      <c r="AP22" s="132">
        <f t="shared" si="27"/>
        <v>0</v>
      </c>
      <c r="AQ22" s="132">
        <f t="shared" si="27"/>
        <v>88.095238095238102</v>
      </c>
    </row>
    <row r="23" spans="1:43">
      <c r="A23" s="6" t="s">
        <v>21</v>
      </c>
      <c r="B23" s="140">
        <f>SUM(K23,S23,AK23)</f>
        <v>0</v>
      </c>
      <c r="C23" s="141">
        <f>SUM(L23,T23,AL23)</f>
        <v>0</v>
      </c>
      <c r="D23" s="142">
        <f>SUM(E23:H23)</f>
        <v>0</v>
      </c>
      <c r="E23" s="141">
        <f t="shared" ref="E23:H24" si="28">SUM(N23,V23,AN23)</f>
        <v>0</v>
      </c>
      <c r="F23" s="141">
        <f t="shared" si="28"/>
        <v>0</v>
      </c>
      <c r="G23" s="141">
        <f t="shared" si="28"/>
        <v>0</v>
      </c>
      <c r="H23" s="141">
        <f t="shared" si="28"/>
        <v>0</v>
      </c>
      <c r="J23" s="6" t="s">
        <v>21</v>
      </c>
      <c r="K23" s="143"/>
      <c r="L23" s="144"/>
      <c r="M23" s="142">
        <f>SUM(N23:Q23)</f>
        <v>0</v>
      </c>
      <c r="N23" s="144"/>
      <c r="O23" s="144"/>
      <c r="P23" s="144"/>
      <c r="Q23" s="144"/>
      <c r="R23" s="6" t="s">
        <v>21</v>
      </c>
      <c r="S23" s="143"/>
      <c r="T23" s="144"/>
      <c r="U23" s="142">
        <f>SUM(V23:Y23)</f>
        <v>0</v>
      </c>
      <c r="V23" s="144"/>
      <c r="W23" s="144"/>
      <c r="X23" s="144"/>
      <c r="Y23" s="144"/>
      <c r="Z23" s="201"/>
      <c r="AA23" s="6" t="s">
        <v>21</v>
      </c>
      <c r="AB23" s="143"/>
      <c r="AC23" s="144"/>
      <c r="AD23" s="142">
        <f>SUM(AE23:AH23)</f>
        <v>0</v>
      </c>
      <c r="AE23" s="144"/>
      <c r="AF23" s="144"/>
      <c r="AG23" s="144"/>
      <c r="AH23" s="144"/>
      <c r="AI23" s="201"/>
      <c r="AJ23" s="6" t="s">
        <v>21</v>
      </c>
      <c r="AK23" s="143"/>
      <c r="AL23" s="144"/>
      <c r="AM23" s="142">
        <f>SUM(AN23:AQ23)</f>
        <v>0</v>
      </c>
      <c r="AN23" s="144"/>
      <c r="AO23" s="144"/>
      <c r="AP23" s="144"/>
      <c r="AQ23" s="144"/>
    </row>
    <row r="24" spans="1:43">
      <c r="A24" s="6" t="s">
        <v>22</v>
      </c>
      <c r="B24" s="136">
        <f>SUM(K24,S24,AK24)</f>
        <v>0</v>
      </c>
      <c r="C24" s="137">
        <f>SUM(L24,T24,AL24)</f>
        <v>0</v>
      </c>
      <c r="D24" s="138">
        <f>SUM(E24:H24)</f>
        <v>0</v>
      </c>
      <c r="E24" s="137">
        <f t="shared" si="28"/>
        <v>0</v>
      </c>
      <c r="F24" s="137">
        <f t="shared" si="28"/>
        <v>0</v>
      </c>
      <c r="G24" s="137">
        <f t="shared" si="28"/>
        <v>0</v>
      </c>
      <c r="H24" s="137">
        <f t="shared" si="28"/>
        <v>0</v>
      </c>
      <c r="J24" s="6" t="s">
        <v>22</v>
      </c>
      <c r="K24" s="8"/>
      <c r="L24" s="248"/>
      <c r="M24" s="139">
        <f>SUM(N24:Q24)</f>
        <v>0</v>
      </c>
      <c r="N24" s="248"/>
      <c r="O24" s="248"/>
      <c r="P24" s="248"/>
      <c r="Q24" s="248"/>
      <c r="R24" s="6" t="s">
        <v>22</v>
      </c>
      <c r="S24" s="8"/>
      <c r="T24" s="248"/>
      <c r="U24" s="139">
        <f>SUM(V24:Y24)</f>
        <v>0</v>
      </c>
      <c r="V24" s="248"/>
      <c r="W24" s="248"/>
      <c r="X24" s="248"/>
      <c r="Y24" s="248"/>
      <c r="Z24" s="201"/>
      <c r="AA24" s="6" t="s">
        <v>22</v>
      </c>
      <c r="AB24" s="8"/>
      <c r="AC24" s="248"/>
      <c r="AD24" s="139">
        <f>SUM(AE24:AH24)</f>
        <v>0</v>
      </c>
      <c r="AE24" s="248"/>
      <c r="AF24" s="248"/>
      <c r="AG24" s="248"/>
      <c r="AH24" s="248"/>
      <c r="AI24" s="201"/>
      <c r="AJ24" s="6" t="s">
        <v>22</v>
      </c>
      <c r="AK24" s="8"/>
      <c r="AL24" s="248"/>
      <c r="AM24" s="139">
        <f>SUM(AN24:AQ24)</f>
        <v>0</v>
      </c>
      <c r="AN24" s="248"/>
      <c r="AO24" s="248"/>
      <c r="AP24" s="248"/>
      <c r="AQ24" s="248"/>
    </row>
    <row r="25" spans="1:43">
      <c r="A25" s="6" t="s">
        <v>12</v>
      </c>
      <c r="B25" s="145" t="e">
        <f t="shared" ref="B25:H25" si="29">B24/B23%</f>
        <v>#DIV/0!</v>
      </c>
      <c r="C25" s="145" t="e">
        <f t="shared" si="29"/>
        <v>#DIV/0!</v>
      </c>
      <c r="D25" s="145" t="e">
        <f t="shared" si="29"/>
        <v>#DIV/0!</v>
      </c>
      <c r="E25" s="145" t="e">
        <f t="shared" si="29"/>
        <v>#DIV/0!</v>
      </c>
      <c r="F25" s="145" t="e">
        <f t="shared" si="29"/>
        <v>#DIV/0!</v>
      </c>
      <c r="G25" s="145" t="e">
        <f t="shared" si="29"/>
        <v>#DIV/0!</v>
      </c>
      <c r="H25" s="145" t="e">
        <f t="shared" si="29"/>
        <v>#DIV/0!</v>
      </c>
      <c r="J25" s="6" t="s">
        <v>12</v>
      </c>
      <c r="K25" s="145" t="e">
        <f t="shared" ref="K25:Q25" si="30">K24/K23%</f>
        <v>#DIV/0!</v>
      </c>
      <c r="L25" s="145" t="e">
        <f t="shared" si="30"/>
        <v>#DIV/0!</v>
      </c>
      <c r="M25" s="145" t="e">
        <f t="shared" si="30"/>
        <v>#DIV/0!</v>
      </c>
      <c r="N25" s="145" t="e">
        <f t="shared" si="30"/>
        <v>#DIV/0!</v>
      </c>
      <c r="O25" s="145" t="e">
        <f t="shared" si="30"/>
        <v>#DIV/0!</v>
      </c>
      <c r="P25" s="145" t="e">
        <f t="shared" si="30"/>
        <v>#DIV/0!</v>
      </c>
      <c r="Q25" s="145" t="e">
        <f t="shared" si="30"/>
        <v>#DIV/0!</v>
      </c>
      <c r="R25" s="6" t="s">
        <v>12</v>
      </c>
      <c r="S25" s="145" t="e">
        <f t="shared" ref="S25:Y25" si="31">S24/S23%</f>
        <v>#DIV/0!</v>
      </c>
      <c r="T25" s="145" t="e">
        <f t="shared" si="31"/>
        <v>#DIV/0!</v>
      </c>
      <c r="U25" s="145" t="e">
        <f t="shared" si="31"/>
        <v>#DIV/0!</v>
      </c>
      <c r="V25" s="145" t="e">
        <f t="shared" si="31"/>
        <v>#DIV/0!</v>
      </c>
      <c r="W25" s="145" t="e">
        <f t="shared" si="31"/>
        <v>#DIV/0!</v>
      </c>
      <c r="X25" s="145" t="e">
        <f t="shared" si="31"/>
        <v>#DIV/0!</v>
      </c>
      <c r="Y25" s="145" t="e">
        <f t="shared" si="31"/>
        <v>#DIV/0!</v>
      </c>
      <c r="Z25" s="201"/>
      <c r="AA25" s="6" t="s">
        <v>12</v>
      </c>
      <c r="AB25" s="145" t="e">
        <f t="shared" ref="AB25:AH25" si="32">AB24/AB23%</f>
        <v>#DIV/0!</v>
      </c>
      <c r="AC25" s="145" t="e">
        <f t="shared" si="32"/>
        <v>#DIV/0!</v>
      </c>
      <c r="AD25" s="145" t="e">
        <f t="shared" si="32"/>
        <v>#DIV/0!</v>
      </c>
      <c r="AE25" s="145" t="e">
        <f t="shared" si="32"/>
        <v>#DIV/0!</v>
      </c>
      <c r="AF25" s="145" t="e">
        <f t="shared" si="32"/>
        <v>#DIV/0!</v>
      </c>
      <c r="AG25" s="145" t="e">
        <f t="shared" si="32"/>
        <v>#DIV/0!</v>
      </c>
      <c r="AH25" s="145" t="e">
        <f t="shared" si="32"/>
        <v>#DIV/0!</v>
      </c>
      <c r="AI25" s="201"/>
      <c r="AJ25" s="6" t="s">
        <v>12</v>
      </c>
      <c r="AK25" s="145" t="e">
        <f t="shared" ref="AK25:AQ25" si="33">AK24/AK23%</f>
        <v>#DIV/0!</v>
      </c>
      <c r="AL25" s="145" t="e">
        <f t="shared" si="33"/>
        <v>#DIV/0!</v>
      </c>
      <c r="AM25" s="145" t="e">
        <f t="shared" si="33"/>
        <v>#DIV/0!</v>
      </c>
      <c r="AN25" s="145" t="e">
        <f t="shared" si="33"/>
        <v>#DIV/0!</v>
      </c>
      <c r="AO25" s="145" t="e">
        <f t="shared" si="33"/>
        <v>#DIV/0!</v>
      </c>
      <c r="AP25" s="145" t="e">
        <f t="shared" si="33"/>
        <v>#DIV/0!</v>
      </c>
      <c r="AQ25" s="145" t="e">
        <f t="shared" si="33"/>
        <v>#DIV/0!</v>
      </c>
    </row>
    <row r="26" spans="1:43">
      <c r="A26" s="6" t="s">
        <v>23</v>
      </c>
      <c r="B26" s="140">
        <f>SUM(K26,S26,AK26)</f>
        <v>27.4</v>
      </c>
      <c r="C26" s="141">
        <f>SUM(L26,T26,AL26)</f>
        <v>1392</v>
      </c>
      <c r="D26" s="142">
        <f>SUM(E26:H26)</f>
        <v>1233</v>
      </c>
      <c r="E26" s="141">
        <f t="shared" ref="E26:H27" si="34">SUM(N26,V26,AN26)</f>
        <v>142</v>
      </c>
      <c r="F26" s="141">
        <f t="shared" si="34"/>
        <v>344</v>
      </c>
      <c r="G26" s="141">
        <f t="shared" si="34"/>
        <v>39</v>
      </c>
      <c r="H26" s="141">
        <f t="shared" si="34"/>
        <v>708</v>
      </c>
      <c r="J26" s="6" t="s">
        <v>23</v>
      </c>
      <c r="K26" s="143">
        <v>8.1999999999999993</v>
      </c>
      <c r="L26" s="144">
        <v>303</v>
      </c>
      <c r="M26" s="142">
        <f>SUM(N26:Q26)</f>
        <v>263</v>
      </c>
      <c r="N26" s="144">
        <v>26</v>
      </c>
      <c r="O26" s="144">
        <v>70</v>
      </c>
      <c r="P26" s="144">
        <v>13</v>
      </c>
      <c r="Q26" s="144">
        <v>154</v>
      </c>
      <c r="R26" s="6" t="s">
        <v>23</v>
      </c>
      <c r="S26" s="143">
        <v>19</v>
      </c>
      <c r="T26" s="144">
        <v>1071</v>
      </c>
      <c r="U26" s="142">
        <f>SUM(V26:Y26)</f>
        <v>954</v>
      </c>
      <c r="V26" s="144">
        <v>114</v>
      </c>
      <c r="W26" s="144">
        <v>270</v>
      </c>
      <c r="X26" s="144">
        <v>25</v>
      </c>
      <c r="Y26" s="144">
        <v>545</v>
      </c>
      <c r="Z26" s="201"/>
      <c r="AA26" s="6" t="s">
        <v>23</v>
      </c>
      <c r="AB26" s="143">
        <v>1.6</v>
      </c>
      <c r="AC26" s="144">
        <v>88</v>
      </c>
      <c r="AD26" s="142">
        <f>SUM(AE26:AH26)</f>
        <v>79</v>
      </c>
      <c r="AE26" s="144">
        <v>11</v>
      </c>
      <c r="AF26" s="144">
        <v>18</v>
      </c>
      <c r="AG26" s="144">
        <v>2</v>
      </c>
      <c r="AH26" s="144">
        <v>48</v>
      </c>
      <c r="AI26" s="201"/>
      <c r="AJ26" s="6" t="s">
        <v>23</v>
      </c>
      <c r="AK26" s="143">
        <v>0.2</v>
      </c>
      <c r="AL26" s="144">
        <v>18</v>
      </c>
      <c r="AM26" s="142">
        <f>SUM(AN26:AQ26)</f>
        <v>16</v>
      </c>
      <c r="AN26" s="144">
        <v>2</v>
      </c>
      <c r="AO26" s="144">
        <v>4</v>
      </c>
      <c r="AP26" s="144">
        <v>1</v>
      </c>
      <c r="AQ26" s="144">
        <v>9</v>
      </c>
    </row>
    <row r="27" spans="1:43">
      <c r="A27" s="6" t="s">
        <v>24</v>
      </c>
      <c r="B27" s="136">
        <f>SUM(K27,S27,AK27)</f>
        <v>83.2</v>
      </c>
      <c r="C27" s="137">
        <f>SUM(L27,T27,AL27)</f>
        <v>1809</v>
      </c>
      <c r="D27" s="138">
        <f>SUM(E27:H27)</f>
        <v>1670</v>
      </c>
      <c r="E27" s="137">
        <f t="shared" si="34"/>
        <v>72</v>
      </c>
      <c r="F27" s="137">
        <f t="shared" si="34"/>
        <v>92</v>
      </c>
      <c r="G27" s="137">
        <f t="shared" si="34"/>
        <v>1</v>
      </c>
      <c r="H27" s="137">
        <f t="shared" si="34"/>
        <v>1505</v>
      </c>
      <c r="J27" s="6" t="s">
        <v>24</v>
      </c>
      <c r="K27" s="8">
        <v>38</v>
      </c>
      <c r="L27" s="248">
        <v>904</v>
      </c>
      <c r="M27" s="139">
        <f>SUM(N27:Q27)</f>
        <v>795</v>
      </c>
      <c r="N27" s="248">
        <v>42</v>
      </c>
      <c r="O27" s="248">
        <v>65</v>
      </c>
      <c r="P27" s="248">
        <v>1</v>
      </c>
      <c r="Q27" s="248">
        <v>687</v>
      </c>
      <c r="R27" s="6" t="s">
        <v>24</v>
      </c>
      <c r="S27" s="8">
        <v>45.2</v>
      </c>
      <c r="T27" s="248">
        <v>905</v>
      </c>
      <c r="U27" s="139">
        <f>SUM(V27:Y27)</f>
        <v>875</v>
      </c>
      <c r="V27" s="248">
        <v>30</v>
      </c>
      <c r="W27" s="248">
        <v>27</v>
      </c>
      <c r="X27" s="248"/>
      <c r="Y27" s="248">
        <v>818</v>
      </c>
      <c r="Z27" s="201"/>
      <c r="AA27" s="6" t="s">
        <v>24</v>
      </c>
      <c r="AB27" s="8">
        <v>1.4</v>
      </c>
      <c r="AC27" s="248">
        <v>32</v>
      </c>
      <c r="AD27" s="139">
        <f>SUM(AE27:AH27)</f>
        <v>32</v>
      </c>
      <c r="AE27" s="248"/>
      <c r="AF27" s="248"/>
      <c r="AG27" s="248"/>
      <c r="AH27" s="248">
        <v>32</v>
      </c>
      <c r="AI27" s="201"/>
      <c r="AJ27" s="6" t="s">
        <v>24</v>
      </c>
      <c r="AK27" s="8"/>
      <c r="AL27" s="248"/>
      <c r="AM27" s="139">
        <f>SUM(AN27:AQ27)</f>
        <v>0</v>
      </c>
      <c r="AN27" s="248"/>
      <c r="AO27" s="248"/>
      <c r="AP27" s="248"/>
      <c r="AQ27" s="248"/>
    </row>
    <row r="28" spans="1:43">
      <c r="A28" s="6" t="s">
        <v>12</v>
      </c>
      <c r="B28" s="145">
        <f t="shared" ref="B28:H28" si="35">B27/B26%</f>
        <v>303.64963503649642</v>
      </c>
      <c r="C28" s="145">
        <f t="shared" si="35"/>
        <v>129.95689655172413</v>
      </c>
      <c r="D28" s="145">
        <f t="shared" si="35"/>
        <v>135.44201135442012</v>
      </c>
      <c r="E28" s="145">
        <f t="shared" si="35"/>
        <v>50.70422535211268</v>
      </c>
      <c r="F28" s="145">
        <f t="shared" si="35"/>
        <v>26.744186046511629</v>
      </c>
      <c r="G28" s="145">
        <f t="shared" si="35"/>
        <v>2.5641025641025639</v>
      </c>
      <c r="H28" s="145">
        <f t="shared" si="35"/>
        <v>212.57062146892656</v>
      </c>
      <c r="J28" s="6" t="s">
        <v>12</v>
      </c>
      <c r="K28" s="145">
        <f t="shared" ref="K28:Q28" si="36">K27/K26%</f>
        <v>463.41463414634154</v>
      </c>
      <c r="L28" s="145">
        <f t="shared" si="36"/>
        <v>298.3498349834984</v>
      </c>
      <c r="M28" s="145">
        <f t="shared" si="36"/>
        <v>302.2813688212928</v>
      </c>
      <c r="N28" s="145">
        <f t="shared" si="36"/>
        <v>161.53846153846152</v>
      </c>
      <c r="O28" s="145">
        <f t="shared" si="36"/>
        <v>92.857142857142861</v>
      </c>
      <c r="P28" s="145">
        <f t="shared" si="36"/>
        <v>7.6923076923076916</v>
      </c>
      <c r="Q28" s="145">
        <f t="shared" si="36"/>
        <v>446.10389610389609</v>
      </c>
      <c r="R28" s="6" t="s">
        <v>12</v>
      </c>
      <c r="S28" s="145">
        <f t="shared" ref="S28:Y28" si="37">S27/S26%</f>
        <v>237.89473684210529</v>
      </c>
      <c r="T28" s="145">
        <f t="shared" si="37"/>
        <v>84.500466853408028</v>
      </c>
      <c r="U28" s="145">
        <f t="shared" si="37"/>
        <v>91.719077568134182</v>
      </c>
      <c r="V28" s="145">
        <f t="shared" si="37"/>
        <v>26.315789473684212</v>
      </c>
      <c r="W28" s="145">
        <f t="shared" si="37"/>
        <v>10</v>
      </c>
      <c r="X28" s="145">
        <f t="shared" si="37"/>
        <v>0</v>
      </c>
      <c r="Y28" s="145">
        <f t="shared" si="37"/>
        <v>150.09174311926606</v>
      </c>
      <c r="Z28" s="201"/>
      <c r="AA28" s="6" t="s">
        <v>12</v>
      </c>
      <c r="AB28" s="145">
        <f t="shared" ref="AB28:AH28" si="38">AB27/AB26%</f>
        <v>87.499999999999986</v>
      </c>
      <c r="AC28" s="145">
        <f t="shared" si="38"/>
        <v>36.363636363636367</v>
      </c>
      <c r="AD28" s="145">
        <f t="shared" si="38"/>
        <v>40.506329113924046</v>
      </c>
      <c r="AE28" s="145">
        <f t="shared" si="38"/>
        <v>0</v>
      </c>
      <c r="AF28" s="145">
        <f t="shared" si="38"/>
        <v>0</v>
      </c>
      <c r="AG28" s="145">
        <f t="shared" si="38"/>
        <v>0</v>
      </c>
      <c r="AH28" s="145">
        <f t="shared" si="38"/>
        <v>66.666666666666671</v>
      </c>
      <c r="AI28" s="201"/>
      <c r="AJ28" s="6" t="s">
        <v>12</v>
      </c>
      <c r="AK28" s="145">
        <f t="shared" ref="AK28:AQ28" si="39">AK27/AK26%</f>
        <v>0</v>
      </c>
      <c r="AL28" s="145">
        <f t="shared" si="39"/>
        <v>0</v>
      </c>
      <c r="AM28" s="145">
        <f t="shared" si="39"/>
        <v>0</v>
      </c>
      <c r="AN28" s="145">
        <f t="shared" si="39"/>
        <v>0</v>
      </c>
      <c r="AO28" s="145">
        <f t="shared" si="39"/>
        <v>0</v>
      </c>
      <c r="AP28" s="145">
        <f t="shared" si="39"/>
        <v>0</v>
      </c>
      <c r="AQ28" s="145">
        <f t="shared" si="39"/>
        <v>0</v>
      </c>
    </row>
    <row r="29" spans="1:43">
      <c r="A29" s="6" t="s">
        <v>25</v>
      </c>
      <c r="B29" s="140">
        <f>SUM(K29,S29,AK29)</f>
        <v>38.200000000000003</v>
      </c>
      <c r="C29" s="141">
        <f>SUM(L29,T29,AL29)</f>
        <v>1917</v>
      </c>
      <c r="D29" s="142">
        <f>SUM(E29:H29)</f>
        <v>1700</v>
      </c>
      <c r="E29" s="141">
        <f t="shared" ref="E29:H30" si="40">SUM(N29,V29,AN29)</f>
        <v>147</v>
      </c>
      <c r="F29" s="141">
        <f t="shared" si="40"/>
        <v>466</v>
      </c>
      <c r="G29" s="141">
        <f t="shared" si="40"/>
        <v>81</v>
      </c>
      <c r="H29" s="141">
        <f t="shared" si="40"/>
        <v>1006</v>
      </c>
      <c r="J29" s="6" t="s">
        <v>25</v>
      </c>
      <c r="K29" s="143">
        <v>6.8</v>
      </c>
      <c r="L29" s="144">
        <v>217</v>
      </c>
      <c r="M29" s="142">
        <f>SUM(N29:Q29)</f>
        <v>186</v>
      </c>
      <c r="N29" s="144">
        <v>11</v>
      </c>
      <c r="O29" s="144">
        <v>58</v>
      </c>
      <c r="P29" s="144">
        <v>12</v>
      </c>
      <c r="Q29" s="144">
        <v>105</v>
      </c>
      <c r="R29" s="6" t="s">
        <v>25</v>
      </c>
      <c r="S29" s="143">
        <v>31.3</v>
      </c>
      <c r="T29" s="144">
        <v>1695</v>
      </c>
      <c r="U29" s="142">
        <f>SUM(V29:Y29)</f>
        <v>1509</v>
      </c>
      <c r="V29" s="144">
        <v>135</v>
      </c>
      <c r="W29" s="144">
        <v>407</v>
      </c>
      <c r="X29" s="144">
        <v>68</v>
      </c>
      <c r="Y29" s="144">
        <v>899</v>
      </c>
      <c r="Z29" s="201"/>
      <c r="AA29" s="6" t="s">
        <v>25</v>
      </c>
      <c r="AB29" s="143">
        <v>0.3</v>
      </c>
      <c r="AC29" s="144">
        <v>15</v>
      </c>
      <c r="AD29" s="142">
        <f>SUM(AE29:AH29)</f>
        <v>14</v>
      </c>
      <c r="AE29" s="144">
        <v>1</v>
      </c>
      <c r="AF29" s="144">
        <v>4</v>
      </c>
      <c r="AG29" s="144">
        <v>1</v>
      </c>
      <c r="AH29" s="144">
        <v>8</v>
      </c>
      <c r="AI29" s="201"/>
      <c r="AJ29" s="6" t="s">
        <v>25</v>
      </c>
      <c r="AK29" s="143">
        <v>0.1</v>
      </c>
      <c r="AL29" s="144">
        <v>5</v>
      </c>
      <c r="AM29" s="142">
        <f>SUM(AN29:AQ29)</f>
        <v>5</v>
      </c>
      <c r="AN29" s="144">
        <v>1</v>
      </c>
      <c r="AO29" s="144">
        <v>1</v>
      </c>
      <c r="AP29" s="144">
        <v>1</v>
      </c>
      <c r="AQ29" s="144">
        <v>2</v>
      </c>
    </row>
    <row r="30" spans="1:43">
      <c r="A30" s="6" t="s">
        <v>26</v>
      </c>
      <c r="B30" s="136">
        <f>SUM(K30,S30,AK30)</f>
        <v>59.8</v>
      </c>
      <c r="C30" s="137">
        <f>SUM(L30,T30,AL30)</f>
        <v>1750</v>
      </c>
      <c r="D30" s="138">
        <f>SUM(E30:H30)</f>
        <v>1659</v>
      </c>
      <c r="E30" s="137">
        <f t="shared" si="40"/>
        <v>321</v>
      </c>
      <c r="F30" s="137">
        <f t="shared" si="40"/>
        <v>65</v>
      </c>
      <c r="G30" s="137">
        <f t="shared" si="40"/>
        <v>16</v>
      </c>
      <c r="H30" s="137">
        <f t="shared" si="40"/>
        <v>1257</v>
      </c>
      <c r="J30" s="6" t="s">
        <v>26</v>
      </c>
      <c r="K30" s="8">
        <v>29.9</v>
      </c>
      <c r="L30" s="248">
        <v>1071</v>
      </c>
      <c r="M30" s="139">
        <f>SUM(N30:Q30)</f>
        <v>997</v>
      </c>
      <c r="N30" s="248">
        <v>11</v>
      </c>
      <c r="O30" s="248">
        <v>34</v>
      </c>
      <c r="P30" s="248">
        <v>5</v>
      </c>
      <c r="Q30" s="248">
        <v>947</v>
      </c>
      <c r="R30" s="6" t="s">
        <v>26</v>
      </c>
      <c r="S30" s="8">
        <v>29.9</v>
      </c>
      <c r="T30" s="248">
        <v>679</v>
      </c>
      <c r="U30" s="139">
        <f>SUM(V30:Y30)</f>
        <v>662</v>
      </c>
      <c r="V30" s="248">
        <v>310</v>
      </c>
      <c r="W30" s="248">
        <v>31</v>
      </c>
      <c r="X30" s="248">
        <v>11</v>
      </c>
      <c r="Y30" s="248">
        <v>310</v>
      </c>
      <c r="Z30" s="201"/>
      <c r="AA30" s="6" t="s">
        <v>26</v>
      </c>
      <c r="AB30" s="8"/>
      <c r="AC30" s="248">
        <v>4</v>
      </c>
      <c r="AD30" s="139">
        <f>SUM(AE30:AH30)</f>
        <v>4</v>
      </c>
      <c r="AE30" s="248"/>
      <c r="AF30" s="248"/>
      <c r="AG30" s="248"/>
      <c r="AH30" s="248">
        <v>4</v>
      </c>
      <c r="AI30" s="201"/>
      <c r="AJ30" s="6" t="s">
        <v>26</v>
      </c>
      <c r="AK30" s="8"/>
      <c r="AL30" s="248"/>
      <c r="AM30" s="139">
        <f>SUM(AN30:AQ30)</f>
        <v>0</v>
      </c>
      <c r="AN30" s="248"/>
      <c r="AO30" s="248"/>
      <c r="AP30" s="248"/>
      <c r="AQ30" s="248"/>
    </row>
    <row r="31" spans="1:43">
      <c r="A31" s="6" t="s">
        <v>12</v>
      </c>
      <c r="B31" s="145">
        <f t="shared" ref="B31:H31" si="41">B30/B29%</f>
        <v>156.54450261780104</v>
      </c>
      <c r="C31" s="145">
        <f t="shared" si="41"/>
        <v>91.288471570161704</v>
      </c>
      <c r="D31" s="145">
        <f t="shared" si="41"/>
        <v>97.588235294117652</v>
      </c>
      <c r="E31" s="145">
        <f t="shared" si="41"/>
        <v>218.36734693877551</v>
      </c>
      <c r="F31" s="145">
        <f t="shared" si="41"/>
        <v>13.948497854077253</v>
      </c>
      <c r="G31" s="145">
        <f t="shared" si="41"/>
        <v>19.753086419753085</v>
      </c>
      <c r="H31" s="145">
        <f t="shared" si="41"/>
        <v>124.95029821073558</v>
      </c>
      <c r="J31" s="6" t="s">
        <v>12</v>
      </c>
      <c r="K31" s="145">
        <f t="shared" ref="K31:Q31" si="42">K30/K29%</f>
        <v>439.7058823529411</v>
      </c>
      <c r="L31" s="145">
        <f t="shared" si="42"/>
        <v>493.54838709677421</v>
      </c>
      <c r="M31" s="145">
        <f t="shared" si="42"/>
        <v>536.02150537634407</v>
      </c>
      <c r="N31" s="145">
        <f t="shared" si="42"/>
        <v>100</v>
      </c>
      <c r="O31" s="145">
        <f t="shared" si="42"/>
        <v>58.62068965517242</v>
      </c>
      <c r="P31" s="145">
        <f t="shared" si="42"/>
        <v>41.666666666666671</v>
      </c>
      <c r="Q31" s="145">
        <f t="shared" si="42"/>
        <v>901.90476190476181</v>
      </c>
      <c r="R31" s="6" t="s">
        <v>12</v>
      </c>
      <c r="S31" s="145">
        <f t="shared" ref="S31:Y31" si="43">S30/S29%</f>
        <v>95.527156549520768</v>
      </c>
      <c r="T31" s="145">
        <f t="shared" si="43"/>
        <v>40.058997050147497</v>
      </c>
      <c r="U31" s="145">
        <f t="shared" si="43"/>
        <v>43.870112657389001</v>
      </c>
      <c r="V31" s="145">
        <f t="shared" si="43"/>
        <v>229.62962962962962</v>
      </c>
      <c r="W31" s="145">
        <f t="shared" si="43"/>
        <v>7.6167076167076164</v>
      </c>
      <c r="X31" s="145">
        <f t="shared" si="43"/>
        <v>16.176470588235293</v>
      </c>
      <c r="Y31" s="145">
        <f t="shared" si="43"/>
        <v>34.482758620689651</v>
      </c>
      <c r="Z31" s="201"/>
      <c r="AA31" s="6" t="s">
        <v>12</v>
      </c>
      <c r="AB31" s="145">
        <f t="shared" ref="AB31:AH31" si="44">AB30/AB29%</f>
        <v>0</v>
      </c>
      <c r="AC31" s="145">
        <f t="shared" si="44"/>
        <v>26.666666666666668</v>
      </c>
      <c r="AD31" s="145">
        <f t="shared" si="44"/>
        <v>28.571428571428569</v>
      </c>
      <c r="AE31" s="145">
        <f t="shared" si="44"/>
        <v>0</v>
      </c>
      <c r="AF31" s="145">
        <f t="shared" si="44"/>
        <v>0</v>
      </c>
      <c r="AG31" s="145">
        <f t="shared" si="44"/>
        <v>0</v>
      </c>
      <c r="AH31" s="145">
        <f t="shared" si="44"/>
        <v>50</v>
      </c>
      <c r="AI31" s="201"/>
      <c r="AJ31" s="6" t="s">
        <v>12</v>
      </c>
      <c r="AK31" s="145">
        <f t="shared" ref="AK31:AQ31" si="45">AK30/AK29%</f>
        <v>0</v>
      </c>
      <c r="AL31" s="145">
        <f t="shared" si="45"/>
        <v>0</v>
      </c>
      <c r="AM31" s="145">
        <f t="shared" si="45"/>
        <v>0</v>
      </c>
      <c r="AN31" s="145">
        <f t="shared" si="45"/>
        <v>0</v>
      </c>
      <c r="AO31" s="145">
        <f t="shared" si="45"/>
        <v>0</v>
      </c>
      <c r="AP31" s="145">
        <f t="shared" si="45"/>
        <v>0</v>
      </c>
      <c r="AQ31" s="145">
        <f t="shared" si="45"/>
        <v>0</v>
      </c>
    </row>
    <row r="32" spans="1:43">
      <c r="A32" s="6" t="s">
        <v>27</v>
      </c>
      <c r="B32" s="140">
        <f>SUM(K32,S32,AK32)</f>
        <v>66.900000000000006</v>
      </c>
      <c r="C32" s="141">
        <f>SUM(L32,T32,AL32)</f>
        <v>17357</v>
      </c>
      <c r="D32" s="142">
        <f>SUM(E32:H32)</f>
        <v>15805</v>
      </c>
      <c r="E32" s="141">
        <f t="shared" ref="E32:H33" si="46">SUM(N32,V32,AN32)</f>
        <v>10762</v>
      </c>
      <c r="F32" s="141">
        <f t="shared" si="46"/>
        <v>2609</v>
      </c>
      <c r="G32" s="141">
        <f t="shared" si="46"/>
        <v>176</v>
      </c>
      <c r="H32" s="141">
        <f t="shared" si="46"/>
        <v>2258</v>
      </c>
      <c r="J32" s="6" t="s">
        <v>27</v>
      </c>
      <c r="K32" s="143">
        <v>0.7</v>
      </c>
      <c r="L32" s="144">
        <v>14</v>
      </c>
      <c r="M32" s="142">
        <f>SUM(N32:Q32)</f>
        <v>14</v>
      </c>
      <c r="N32" s="144">
        <v>9</v>
      </c>
      <c r="O32" s="144">
        <v>2</v>
      </c>
      <c r="P32" s="144">
        <v>1</v>
      </c>
      <c r="Q32" s="144">
        <v>2</v>
      </c>
      <c r="R32" s="6" t="s">
        <v>27</v>
      </c>
      <c r="S32" s="143">
        <v>66.2</v>
      </c>
      <c r="T32" s="144">
        <v>17343</v>
      </c>
      <c r="U32" s="142">
        <f>SUM(V32:Y32)</f>
        <v>15791</v>
      </c>
      <c r="V32" s="144">
        <v>10753</v>
      </c>
      <c r="W32" s="144">
        <v>2607</v>
      </c>
      <c r="X32" s="144">
        <v>175</v>
      </c>
      <c r="Y32" s="144">
        <v>2256</v>
      </c>
      <c r="Z32" s="201"/>
      <c r="AA32" s="6" t="s">
        <v>27</v>
      </c>
      <c r="AB32" s="143">
        <v>66</v>
      </c>
      <c r="AC32" s="144">
        <v>17295</v>
      </c>
      <c r="AD32" s="142">
        <f>SUM(AE32:AH32)</f>
        <v>15746</v>
      </c>
      <c r="AE32" s="144">
        <v>10723</v>
      </c>
      <c r="AF32" s="144">
        <v>2599</v>
      </c>
      <c r="AG32" s="144">
        <v>174</v>
      </c>
      <c r="AH32" s="144">
        <v>2250</v>
      </c>
      <c r="AI32" s="201"/>
      <c r="AJ32" s="6" t="s">
        <v>27</v>
      </c>
      <c r="AK32" s="143"/>
      <c r="AL32" s="144"/>
      <c r="AM32" s="142">
        <f>SUM(AN32:AQ32)</f>
        <v>0</v>
      </c>
      <c r="AN32" s="144"/>
      <c r="AO32" s="144"/>
      <c r="AP32" s="144"/>
      <c r="AQ32" s="144"/>
    </row>
    <row r="33" spans="1:43">
      <c r="A33" s="6" t="s">
        <v>28</v>
      </c>
      <c r="B33" s="136">
        <f>SUM(K33,S33,AK33)</f>
        <v>19.399999999999999</v>
      </c>
      <c r="C33" s="137">
        <f>SUM(L33,T33,AL33)</f>
        <v>6531</v>
      </c>
      <c r="D33" s="138">
        <f>SUM(E33:H33)</f>
        <v>6469</v>
      </c>
      <c r="E33" s="137">
        <f t="shared" si="46"/>
        <v>5348</v>
      </c>
      <c r="F33" s="137">
        <f t="shared" si="46"/>
        <v>480</v>
      </c>
      <c r="G33" s="137">
        <f t="shared" si="46"/>
        <v>272</v>
      </c>
      <c r="H33" s="137">
        <f t="shared" si="46"/>
        <v>369</v>
      </c>
      <c r="I33" s="25"/>
      <c r="J33" s="6" t="s">
        <v>28</v>
      </c>
      <c r="K33" s="8"/>
      <c r="L33" s="248"/>
      <c r="M33" s="139">
        <f>SUM(N33:Q33)</f>
        <v>0</v>
      </c>
      <c r="N33" s="248"/>
      <c r="O33" s="248"/>
      <c r="P33" s="248"/>
      <c r="Q33" s="248"/>
      <c r="R33" s="6" t="s">
        <v>28</v>
      </c>
      <c r="S33" s="8">
        <v>19.399999999999999</v>
      </c>
      <c r="T33" s="248">
        <v>6531</v>
      </c>
      <c r="U33" s="139">
        <f>SUM(V33:Y33)</f>
        <v>6469</v>
      </c>
      <c r="V33" s="248">
        <v>5348</v>
      </c>
      <c r="W33" s="248">
        <v>480</v>
      </c>
      <c r="X33" s="248">
        <v>272</v>
      </c>
      <c r="Y33" s="248">
        <v>369</v>
      </c>
      <c r="Z33" s="201"/>
      <c r="AA33" s="6" t="s">
        <v>28</v>
      </c>
      <c r="AB33" s="8">
        <v>19.399999999999999</v>
      </c>
      <c r="AC33" s="248">
        <v>6531</v>
      </c>
      <c r="AD33" s="139">
        <f>SUM(AE33:AH33)</f>
        <v>6469</v>
      </c>
      <c r="AE33" s="248">
        <v>5348</v>
      </c>
      <c r="AF33" s="248">
        <v>480</v>
      </c>
      <c r="AG33" s="248">
        <v>272</v>
      </c>
      <c r="AH33" s="248">
        <v>369</v>
      </c>
      <c r="AI33" s="201"/>
      <c r="AJ33" s="6" t="s">
        <v>28</v>
      </c>
      <c r="AK33" s="8"/>
      <c r="AL33" s="248"/>
      <c r="AM33" s="139">
        <f>SUM(AN33:AQ33)</f>
        <v>0</v>
      </c>
      <c r="AN33" s="248"/>
      <c r="AO33" s="248"/>
      <c r="AP33" s="248"/>
      <c r="AQ33" s="248"/>
    </row>
    <row r="34" spans="1:43">
      <c r="A34" s="6" t="s">
        <v>12</v>
      </c>
      <c r="B34" s="145">
        <f t="shared" ref="B34:H34" si="47">B33/B32%</f>
        <v>28.998505231689084</v>
      </c>
      <c r="C34" s="145">
        <f t="shared" si="47"/>
        <v>37.627470184939796</v>
      </c>
      <c r="D34" s="145">
        <f t="shared" si="47"/>
        <v>40.930085416007593</v>
      </c>
      <c r="E34" s="145">
        <f t="shared" si="47"/>
        <v>49.693365545437651</v>
      </c>
      <c r="F34" s="145">
        <f t="shared" si="47"/>
        <v>18.397853583748564</v>
      </c>
      <c r="G34" s="145">
        <f t="shared" si="47"/>
        <v>154.54545454545453</v>
      </c>
      <c r="H34" s="145">
        <f t="shared" si="47"/>
        <v>16.341895482728081</v>
      </c>
      <c r="J34" s="6" t="s">
        <v>12</v>
      </c>
      <c r="K34" s="145">
        <f t="shared" ref="K34:Q34" si="48">K33/K32%</f>
        <v>0</v>
      </c>
      <c r="L34" s="145">
        <f t="shared" si="48"/>
        <v>0</v>
      </c>
      <c r="M34" s="145">
        <f t="shared" si="48"/>
        <v>0</v>
      </c>
      <c r="N34" s="145">
        <f t="shared" si="48"/>
        <v>0</v>
      </c>
      <c r="O34" s="145">
        <f t="shared" si="48"/>
        <v>0</v>
      </c>
      <c r="P34" s="145">
        <f t="shared" si="48"/>
        <v>0</v>
      </c>
      <c r="Q34" s="145">
        <f t="shared" si="48"/>
        <v>0</v>
      </c>
      <c r="R34" s="6" t="s">
        <v>12</v>
      </c>
      <c r="S34" s="145">
        <f t="shared" ref="S34:Y34" si="49">S33/S32%</f>
        <v>29.305135951661629</v>
      </c>
      <c r="T34" s="145">
        <f t="shared" si="49"/>
        <v>37.657844663553014</v>
      </c>
      <c r="U34" s="145">
        <f t="shared" si="49"/>
        <v>40.966373250585775</v>
      </c>
      <c r="V34" s="145">
        <f t="shared" si="49"/>
        <v>49.734957686227098</v>
      </c>
      <c r="W34" s="145">
        <f t="shared" si="49"/>
        <v>18.411967779056386</v>
      </c>
      <c r="X34" s="145">
        <f t="shared" si="49"/>
        <v>155.42857142857142</v>
      </c>
      <c r="Y34" s="145">
        <f t="shared" si="49"/>
        <v>16.356382978723406</v>
      </c>
      <c r="Z34" s="201"/>
      <c r="AA34" s="6" t="s">
        <v>12</v>
      </c>
      <c r="AB34" s="145">
        <f t="shared" ref="AB34:AH34" si="50">AB33/AB32%</f>
        <v>29.393939393939391</v>
      </c>
      <c r="AC34" s="145">
        <f t="shared" si="50"/>
        <v>37.762359063313099</v>
      </c>
      <c r="AD34" s="145">
        <f t="shared" si="50"/>
        <v>41.083449765019687</v>
      </c>
      <c r="AE34" s="145">
        <f t="shared" si="50"/>
        <v>49.874102396717333</v>
      </c>
      <c r="AF34" s="145">
        <f t="shared" si="50"/>
        <v>18.46864178530204</v>
      </c>
      <c r="AG34" s="145">
        <f t="shared" si="50"/>
        <v>156.32183908045977</v>
      </c>
      <c r="AH34" s="145">
        <f t="shared" si="50"/>
        <v>16.399999999999999</v>
      </c>
      <c r="AI34" s="201"/>
      <c r="AJ34" s="6" t="s">
        <v>12</v>
      </c>
      <c r="AK34" s="145" t="e">
        <f t="shared" ref="AK34:AQ34" si="51">AK33/AK32%</f>
        <v>#DIV/0!</v>
      </c>
      <c r="AL34" s="145" t="e">
        <f t="shared" si="51"/>
        <v>#DIV/0!</v>
      </c>
      <c r="AM34" s="145" t="e">
        <f t="shared" si="51"/>
        <v>#DIV/0!</v>
      </c>
      <c r="AN34" s="145" t="e">
        <f t="shared" si="51"/>
        <v>#DIV/0!</v>
      </c>
      <c r="AO34" s="145" t="e">
        <f t="shared" si="51"/>
        <v>#DIV/0!</v>
      </c>
      <c r="AP34" s="145" t="e">
        <f t="shared" si="51"/>
        <v>#DIV/0!</v>
      </c>
      <c r="AQ34" s="145" t="e">
        <f t="shared" si="51"/>
        <v>#DIV/0!</v>
      </c>
    </row>
    <row r="35" spans="1:43">
      <c r="A35" s="6" t="s">
        <v>29</v>
      </c>
      <c r="B35" s="140">
        <f>SUM(K35,S35,AK35)</f>
        <v>240.29999999999998</v>
      </c>
      <c r="C35" s="141">
        <f>SUM(L35,T35,AL35)</f>
        <v>21384</v>
      </c>
      <c r="D35" s="142">
        <f>SUM(E35:H35)</f>
        <v>18655</v>
      </c>
      <c r="E35" s="141">
        <f t="shared" ref="E35:H36" si="52">SUM(N35,V35,AN35)</f>
        <v>1498</v>
      </c>
      <c r="F35" s="141">
        <f t="shared" si="52"/>
        <v>5367</v>
      </c>
      <c r="G35" s="141">
        <f t="shared" si="52"/>
        <v>1092</v>
      </c>
      <c r="H35" s="141">
        <f t="shared" si="52"/>
        <v>10698</v>
      </c>
      <c r="J35" s="6" t="s">
        <v>29</v>
      </c>
      <c r="K35" s="143">
        <v>0.5</v>
      </c>
      <c r="L35" s="144">
        <v>20</v>
      </c>
      <c r="M35" s="142">
        <f>SUM(N35:Q35)</f>
        <v>17</v>
      </c>
      <c r="N35" s="144">
        <v>1</v>
      </c>
      <c r="O35" s="144">
        <v>4</v>
      </c>
      <c r="P35" s="144">
        <v>1</v>
      </c>
      <c r="Q35" s="144">
        <v>11</v>
      </c>
      <c r="R35" s="6" t="s">
        <v>29</v>
      </c>
      <c r="S35" s="143">
        <v>239.7</v>
      </c>
      <c r="T35" s="144">
        <v>21357</v>
      </c>
      <c r="U35" s="142">
        <f>SUM(V35:Y35)</f>
        <v>18631</v>
      </c>
      <c r="V35" s="144">
        <v>1496</v>
      </c>
      <c r="W35" s="144">
        <v>5361</v>
      </c>
      <c r="X35" s="144">
        <v>1090</v>
      </c>
      <c r="Y35" s="144">
        <v>10684</v>
      </c>
      <c r="Z35" s="201"/>
      <c r="AA35" s="6" t="s">
        <v>29</v>
      </c>
      <c r="AB35" s="143">
        <v>1.5</v>
      </c>
      <c r="AC35" s="144">
        <v>140</v>
      </c>
      <c r="AD35" s="142">
        <f>SUM(AE35:AH35)</f>
        <v>125</v>
      </c>
      <c r="AE35" s="144">
        <v>12</v>
      </c>
      <c r="AF35" s="144">
        <v>37</v>
      </c>
      <c r="AG35" s="144">
        <v>10</v>
      </c>
      <c r="AH35" s="144">
        <v>66</v>
      </c>
      <c r="AI35" s="201"/>
      <c r="AJ35" s="6" t="s">
        <v>29</v>
      </c>
      <c r="AK35" s="143">
        <v>0.1</v>
      </c>
      <c r="AL35" s="144">
        <v>7</v>
      </c>
      <c r="AM35" s="142">
        <f>SUM(AN35:AQ35)</f>
        <v>7</v>
      </c>
      <c r="AN35" s="144">
        <v>1</v>
      </c>
      <c r="AO35" s="144">
        <v>2</v>
      </c>
      <c r="AP35" s="144">
        <v>1</v>
      </c>
      <c r="AQ35" s="144">
        <v>3</v>
      </c>
    </row>
    <row r="36" spans="1:43">
      <c r="A36" s="6" t="s">
        <v>30</v>
      </c>
      <c r="B36" s="136">
        <f>SUM(K36,S36,AK36)</f>
        <v>394.7</v>
      </c>
      <c r="C36" s="137">
        <f>SUM(L36,T36,AL36)</f>
        <v>33022</v>
      </c>
      <c r="D36" s="138">
        <f>SUM(E36:H36)</f>
        <v>29013</v>
      </c>
      <c r="E36" s="137">
        <f t="shared" si="52"/>
        <v>2164</v>
      </c>
      <c r="F36" s="137">
        <f t="shared" si="52"/>
        <v>8091</v>
      </c>
      <c r="G36" s="137">
        <f t="shared" si="52"/>
        <v>1682</v>
      </c>
      <c r="H36" s="137">
        <f t="shared" si="52"/>
        <v>17076</v>
      </c>
      <c r="J36" s="6" t="s">
        <v>30</v>
      </c>
      <c r="K36" s="8">
        <v>1.4</v>
      </c>
      <c r="L36" s="248">
        <v>126</v>
      </c>
      <c r="M36" s="139">
        <f>SUM(N36:Q36)</f>
        <v>121</v>
      </c>
      <c r="N36" s="248"/>
      <c r="O36" s="248"/>
      <c r="P36" s="248"/>
      <c r="Q36" s="248">
        <v>121</v>
      </c>
      <c r="R36" s="6" t="s">
        <v>30</v>
      </c>
      <c r="S36" s="8">
        <v>393</v>
      </c>
      <c r="T36" s="248">
        <v>32891</v>
      </c>
      <c r="U36" s="139">
        <f>SUM(V36:Y36)</f>
        <v>28887</v>
      </c>
      <c r="V36" s="248">
        <v>2164</v>
      </c>
      <c r="W36" s="248">
        <v>8091</v>
      </c>
      <c r="X36" s="248">
        <v>1682</v>
      </c>
      <c r="Y36" s="248">
        <v>16950</v>
      </c>
      <c r="Z36" s="201"/>
      <c r="AA36" s="6" t="s">
        <v>30</v>
      </c>
      <c r="AB36" s="8"/>
      <c r="AC36" s="248">
        <v>53</v>
      </c>
      <c r="AD36" s="139">
        <f>SUM(AE36:AH36)</f>
        <v>30</v>
      </c>
      <c r="AE36" s="248"/>
      <c r="AF36" s="248"/>
      <c r="AG36" s="248"/>
      <c r="AH36" s="248">
        <v>30</v>
      </c>
      <c r="AI36" s="201"/>
      <c r="AJ36" s="6" t="s">
        <v>30</v>
      </c>
      <c r="AK36" s="8">
        <v>0.3</v>
      </c>
      <c r="AL36" s="248">
        <v>5</v>
      </c>
      <c r="AM36" s="139">
        <f>SUM(AN36:AQ36)</f>
        <v>5</v>
      </c>
      <c r="AN36" s="248"/>
      <c r="AO36" s="248"/>
      <c r="AP36" s="248"/>
      <c r="AQ36" s="248">
        <v>5</v>
      </c>
    </row>
    <row r="37" spans="1:43">
      <c r="A37" s="6" t="s">
        <v>12</v>
      </c>
      <c r="B37" s="145">
        <f t="shared" ref="B37:H37" si="53">B36/B35%</f>
        <v>164.25301706200582</v>
      </c>
      <c r="C37" s="145">
        <f t="shared" si="53"/>
        <v>154.42386831275721</v>
      </c>
      <c r="D37" s="145">
        <f t="shared" si="53"/>
        <v>155.52398820691502</v>
      </c>
      <c r="E37" s="145">
        <f t="shared" si="53"/>
        <v>144.45927903871828</v>
      </c>
      <c r="F37" s="145">
        <f t="shared" si="53"/>
        <v>150.75461151481275</v>
      </c>
      <c r="G37" s="145">
        <f t="shared" si="53"/>
        <v>154.02930402930403</v>
      </c>
      <c r="H37" s="145">
        <f t="shared" si="53"/>
        <v>159.61862030286034</v>
      </c>
      <c r="J37" s="6" t="s">
        <v>12</v>
      </c>
      <c r="K37" s="145">
        <f t="shared" ref="K37:Q37" si="54">K36/K35%</f>
        <v>280</v>
      </c>
      <c r="L37" s="145">
        <f t="shared" si="54"/>
        <v>630</v>
      </c>
      <c r="M37" s="145">
        <f t="shared" si="54"/>
        <v>711.76470588235293</v>
      </c>
      <c r="N37" s="145">
        <f t="shared" si="54"/>
        <v>0</v>
      </c>
      <c r="O37" s="145">
        <f t="shared" si="54"/>
        <v>0</v>
      </c>
      <c r="P37" s="145">
        <f t="shared" si="54"/>
        <v>0</v>
      </c>
      <c r="Q37" s="145">
        <f t="shared" si="54"/>
        <v>1100</v>
      </c>
      <c r="R37" s="6" t="s">
        <v>12</v>
      </c>
      <c r="S37" s="145">
        <f t="shared" ref="S37:Y37" si="55">S36/S35%</f>
        <v>163.95494367959952</v>
      </c>
      <c r="T37" s="145">
        <f t="shared" si="55"/>
        <v>154.00571241279206</v>
      </c>
      <c r="U37" s="145">
        <f t="shared" si="55"/>
        <v>155.04803821587677</v>
      </c>
      <c r="V37" s="145">
        <f t="shared" si="55"/>
        <v>144.6524064171123</v>
      </c>
      <c r="W37" s="145">
        <f t="shared" si="55"/>
        <v>150.92333519865696</v>
      </c>
      <c r="X37" s="145">
        <f t="shared" si="55"/>
        <v>154.3119266055046</v>
      </c>
      <c r="Y37" s="145">
        <f t="shared" si="55"/>
        <v>158.64844627480343</v>
      </c>
      <c r="Z37" s="201"/>
      <c r="AA37" s="6" t="s">
        <v>12</v>
      </c>
      <c r="AB37" s="145">
        <f t="shared" ref="AB37:AH37" si="56">AB36/AB35%</f>
        <v>0</v>
      </c>
      <c r="AC37" s="145">
        <f t="shared" si="56"/>
        <v>37.857142857142861</v>
      </c>
      <c r="AD37" s="145">
        <f t="shared" si="56"/>
        <v>24</v>
      </c>
      <c r="AE37" s="145">
        <f t="shared" si="56"/>
        <v>0</v>
      </c>
      <c r="AF37" s="145">
        <f t="shared" si="56"/>
        <v>0</v>
      </c>
      <c r="AG37" s="145">
        <f t="shared" si="56"/>
        <v>0</v>
      </c>
      <c r="AH37" s="145">
        <f t="shared" si="56"/>
        <v>45.454545454545453</v>
      </c>
      <c r="AI37" s="201"/>
      <c r="AJ37" s="6" t="s">
        <v>12</v>
      </c>
      <c r="AK37" s="145">
        <f t="shared" ref="AK37:AQ37" si="57">AK36/AK35%</f>
        <v>300</v>
      </c>
      <c r="AL37" s="145">
        <f t="shared" si="57"/>
        <v>71.428571428571416</v>
      </c>
      <c r="AM37" s="145">
        <f t="shared" si="57"/>
        <v>71.428571428571416</v>
      </c>
      <c r="AN37" s="145">
        <f t="shared" si="57"/>
        <v>0</v>
      </c>
      <c r="AO37" s="145">
        <f t="shared" si="57"/>
        <v>0</v>
      </c>
      <c r="AP37" s="145">
        <f t="shared" si="57"/>
        <v>0</v>
      </c>
      <c r="AQ37" s="145">
        <f t="shared" si="57"/>
        <v>166.66666666666669</v>
      </c>
    </row>
    <row r="38" spans="1:43">
      <c r="A38" s="6" t="s">
        <v>31</v>
      </c>
      <c r="B38" s="140">
        <f>SUM(K38,S38,AK38)</f>
        <v>149.19999999999999</v>
      </c>
      <c r="C38" s="141">
        <f>SUM(L38,T38,AL38)</f>
        <v>10026</v>
      </c>
      <c r="D38" s="142">
        <f>SUM(E38:H38)</f>
        <v>8339</v>
      </c>
      <c r="E38" s="141">
        <f t="shared" ref="E38:H39" si="58">SUM(N38,V38,AN38)</f>
        <v>1676</v>
      </c>
      <c r="F38" s="141">
        <f t="shared" si="58"/>
        <v>1674</v>
      </c>
      <c r="G38" s="141">
        <f t="shared" si="58"/>
        <v>330</v>
      </c>
      <c r="H38" s="141">
        <f t="shared" si="58"/>
        <v>4659</v>
      </c>
      <c r="J38" s="6" t="s">
        <v>31</v>
      </c>
      <c r="K38" s="143">
        <v>80.400000000000006</v>
      </c>
      <c r="L38" s="144">
        <v>4013</v>
      </c>
      <c r="M38" s="142">
        <f>SUM(N38:Q38)</f>
        <v>3354</v>
      </c>
      <c r="N38" s="144">
        <v>560</v>
      </c>
      <c r="O38" s="144">
        <v>820</v>
      </c>
      <c r="P38" s="144">
        <v>163</v>
      </c>
      <c r="Q38" s="144">
        <v>1811</v>
      </c>
      <c r="R38" s="6" t="s">
        <v>31</v>
      </c>
      <c r="S38" s="143">
        <v>68.3</v>
      </c>
      <c r="T38" s="144">
        <v>5957</v>
      </c>
      <c r="U38" s="142">
        <f>SUM(V38:Y38)</f>
        <v>4939</v>
      </c>
      <c r="V38" s="144">
        <v>1107</v>
      </c>
      <c r="W38" s="144">
        <v>846</v>
      </c>
      <c r="X38" s="144">
        <v>166</v>
      </c>
      <c r="Y38" s="144">
        <v>2820</v>
      </c>
      <c r="Z38" s="201"/>
      <c r="AA38" s="6" t="s">
        <v>31</v>
      </c>
      <c r="AB38" s="143">
        <v>33.700000000000003</v>
      </c>
      <c r="AC38" s="144">
        <v>4995</v>
      </c>
      <c r="AD38" s="142">
        <f>SUM(AE38:AH38)</f>
        <v>4203</v>
      </c>
      <c r="AE38" s="144">
        <v>1021</v>
      </c>
      <c r="AF38" s="144">
        <v>748</v>
      </c>
      <c r="AG38" s="144">
        <v>146</v>
      </c>
      <c r="AH38" s="144">
        <v>2288</v>
      </c>
      <c r="AI38" s="201"/>
      <c r="AJ38" s="6" t="s">
        <v>31</v>
      </c>
      <c r="AK38" s="143">
        <v>0.5</v>
      </c>
      <c r="AL38" s="144">
        <v>56</v>
      </c>
      <c r="AM38" s="142">
        <f>SUM(AN38:AQ38)</f>
        <v>46</v>
      </c>
      <c r="AN38" s="144">
        <v>9</v>
      </c>
      <c r="AO38" s="144">
        <v>8</v>
      </c>
      <c r="AP38" s="144">
        <v>1</v>
      </c>
      <c r="AQ38" s="144">
        <v>28</v>
      </c>
    </row>
    <row r="39" spans="1:43">
      <c r="A39" s="6" t="s">
        <v>32</v>
      </c>
      <c r="B39" s="136">
        <f>SUM(K39,S39,AK39)</f>
        <v>245.79999999999998</v>
      </c>
      <c r="C39" s="137">
        <f>SUM(L39,T39,AL39)</f>
        <v>13391</v>
      </c>
      <c r="D39" s="138">
        <f>SUM(E39:H39)</f>
        <v>12645</v>
      </c>
      <c r="E39" s="137">
        <f t="shared" si="58"/>
        <v>2268</v>
      </c>
      <c r="F39" s="137">
        <f t="shared" si="58"/>
        <v>2117</v>
      </c>
      <c r="G39" s="137">
        <f t="shared" si="58"/>
        <v>237</v>
      </c>
      <c r="H39" s="137">
        <f t="shared" si="58"/>
        <v>8023</v>
      </c>
      <c r="J39" s="6" t="s">
        <v>32</v>
      </c>
      <c r="K39" s="8">
        <v>202.5</v>
      </c>
      <c r="L39" s="248">
        <v>7860</v>
      </c>
      <c r="M39" s="139">
        <f>SUM(N39:Q39)</f>
        <v>7573</v>
      </c>
      <c r="N39" s="248">
        <v>882</v>
      </c>
      <c r="O39" s="248">
        <v>1504</v>
      </c>
      <c r="P39" s="248">
        <v>149</v>
      </c>
      <c r="Q39" s="248">
        <v>5038</v>
      </c>
      <c r="R39" s="6" t="s">
        <v>32</v>
      </c>
      <c r="S39" s="8">
        <v>38.1</v>
      </c>
      <c r="T39" s="248">
        <v>5498</v>
      </c>
      <c r="U39" s="139">
        <f>SUM(V39:Y39)</f>
        <v>5040</v>
      </c>
      <c r="V39" s="248">
        <v>1386</v>
      </c>
      <c r="W39" s="248">
        <v>613</v>
      </c>
      <c r="X39" s="248">
        <v>88</v>
      </c>
      <c r="Y39" s="248">
        <v>2953</v>
      </c>
      <c r="Z39" s="201"/>
      <c r="AA39" s="6" t="s">
        <v>32</v>
      </c>
      <c r="AB39" s="8">
        <v>13.6</v>
      </c>
      <c r="AC39" s="248">
        <v>3174</v>
      </c>
      <c r="AD39" s="139">
        <f>SUM(AE39:AH39)</f>
        <v>2911</v>
      </c>
      <c r="AE39" s="248">
        <v>1093</v>
      </c>
      <c r="AF39" s="248">
        <v>363</v>
      </c>
      <c r="AG39" s="248">
        <v>57</v>
      </c>
      <c r="AH39" s="248">
        <v>1398</v>
      </c>
      <c r="AI39" s="201"/>
      <c r="AJ39" s="6" t="s">
        <v>32</v>
      </c>
      <c r="AK39" s="8">
        <v>5.2</v>
      </c>
      <c r="AL39" s="248">
        <v>33</v>
      </c>
      <c r="AM39" s="139">
        <f>SUM(AN39:AQ39)</f>
        <v>32</v>
      </c>
      <c r="AN39" s="248"/>
      <c r="AO39" s="248"/>
      <c r="AP39" s="248"/>
      <c r="AQ39" s="248">
        <v>32</v>
      </c>
    </row>
    <row r="40" spans="1:43">
      <c r="A40" s="6" t="s">
        <v>12</v>
      </c>
      <c r="B40" s="145">
        <f t="shared" ref="B40:H40" si="59">B39/B38%</f>
        <v>164.74530831099196</v>
      </c>
      <c r="C40" s="145">
        <f t="shared" si="59"/>
        <v>133.56273688410133</v>
      </c>
      <c r="D40" s="145">
        <f t="shared" si="59"/>
        <v>151.63688691689651</v>
      </c>
      <c r="E40" s="145">
        <f t="shared" si="59"/>
        <v>135.32219570405726</v>
      </c>
      <c r="F40" s="145">
        <f t="shared" si="59"/>
        <v>126.46356033452808</v>
      </c>
      <c r="G40" s="145">
        <f t="shared" si="59"/>
        <v>71.818181818181827</v>
      </c>
      <c r="H40" s="145">
        <f t="shared" si="59"/>
        <v>172.204335694355</v>
      </c>
      <c r="J40" s="6" t="s">
        <v>12</v>
      </c>
      <c r="K40" s="145">
        <f>K39/K38%</f>
        <v>251.86567164179104</v>
      </c>
      <c r="L40" s="145">
        <f t="shared" ref="L40:Q40" si="60">L39/L38%</f>
        <v>195.8634438076252</v>
      </c>
      <c r="M40" s="145">
        <f t="shared" si="60"/>
        <v>225.79010137149672</v>
      </c>
      <c r="N40" s="145">
        <f t="shared" si="60"/>
        <v>157.5</v>
      </c>
      <c r="O40" s="145">
        <f t="shared" si="60"/>
        <v>183.41463414634148</v>
      </c>
      <c r="P40" s="145">
        <f t="shared" si="60"/>
        <v>91.411042944785279</v>
      </c>
      <c r="Q40" s="145">
        <f t="shared" si="60"/>
        <v>278.1888459414688</v>
      </c>
      <c r="R40" s="6" t="s">
        <v>12</v>
      </c>
      <c r="S40" s="145">
        <f t="shared" ref="S40:Y40" si="61">S39/S38%</f>
        <v>55.78330893118595</v>
      </c>
      <c r="T40" s="145">
        <f t="shared" si="61"/>
        <v>92.294779251300994</v>
      </c>
      <c r="U40" s="145">
        <f t="shared" si="61"/>
        <v>102.04494837011541</v>
      </c>
      <c r="V40" s="145">
        <f t="shared" si="61"/>
        <v>125.20325203252033</v>
      </c>
      <c r="W40" s="145">
        <f t="shared" si="61"/>
        <v>72.458628841607563</v>
      </c>
      <c r="X40" s="145">
        <f t="shared" si="61"/>
        <v>53.01204819277109</v>
      </c>
      <c r="Y40" s="145">
        <f t="shared" si="61"/>
        <v>104.71631205673759</v>
      </c>
      <c r="Z40" s="201"/>
      <c r="AA40" s="6" t="s">
        <v>12</v>
      </c>
      <c r="AB40" s="145">
        <f t="shared" ref="AB40:AH40" si="62">AB39/AB38%</f>
        <v>40.35608308605341</v>
      </c>
      <c r="AC40" s="145">
        <f t="shared" si="62"/>
        <v>63.543543543543542</v>
      </c>
      <c r="AD40" s="145">
        <f t="shared" si="62"/>
        <v>69.260052343564112</v>
      </c>
      <c r="AE40" s="145">
        <f t="shared" si="62"/>
        <v>107.05190989226247</v>
      </c>
      <c r="AF40" s="145">
        <f t="shared" si="62"/>
        <v>48.529411764705877</v>
      </c>
      <c r="AG40" s="145">
        <f t="shared" si="62"/>
        <v>39.041095890410958</v>
      </c>
      <c r="AH40" s="145">
        <f t="shared" si="62"/>
        <v>61.101398601398607</v>
      </c>
      <c r="AI40" s="201"/>
      <c r="AJ40" s="6" t="s">
        <v>12</v>
      </c>
      <c r="AK40" s="145">
        <f t="shared" ref="AK40:AQ40" si="63">AK39/AK38%</f>
        <v>1040</v>
      </c>
      <c r="AL40" s="145">
        <f t="shared" si="63"/>
        <v>58.928571428571423</v>
      </c>
      <c r="AM40" s="145">
        <f t="shared" si="63"/>
        <v>69.565217391304344</v>
      </c>
      <c r="AN40" s="145">
        <f t="shared" si="63"/>
        <v>0</v>
      </c>
      <c r="AO40" s="145">
        <f t="shared" si="63"/>
        <v>0</v>
      </c>
      <c r="AP40" s="145">
        <f t="shared" si="63"/>
        <v>0</v>
      </c>
      <c r="AQ40" s="145">
        <f t="shared" si="63"/>
        <v>114.28571428571428</v>
      </c>
    </row>
    <row r="41" spans="1:43">
      <c r="A41" s="1"/>
      <c r="B41" s="1"/>
      <c r="C41" s="1"/>
      <c r="D41" s="1"/>
      <c r="E41" s="454"/>
      <c r="F41" s="454"/>
      <c r="G41" s="454"/>
      <c r="H41" s="454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64">K9+S9+AK9</f>
        <v>550.40000000000009</v>
      </c>
      <c r="C46" s="83">
        <f t="shared" si="64"/>
        <v>53938</v>
      </c>
      <c r="D46" s="83">
        <f t="shared" si="64"/>
        <v>47114</v>
      </c>
      <c r="E46" s="83">
        <f t="shared" si="64"/>
        <v>14467</v>
      </c>
      <c r="F46" s="83">
        <f t="shared" si="64"/>
        <v>11035</v>
      </c>
      <c r="G46" s="83">
        <f t="shared" si="64"/>
        <v>1797</v>
      </c>
      <c r="H46" s="83">
        <f t="shared" si="64"/>
        <v>19815</v>
      </c>
    </row>
    <row r="47" spans="1:43">
      <c r="A47" s="84" t="s">
        <v>50</v>
      </c>
      <c r="B47" s="83">
        <f t="shared" si="64"/>
        <v>847.4</v>
      </c>
      <c r="C47" s="83">
        <f t="shared" si="64"/>
        <v>58644</v>
      </c>
      <c r="D47" s="83">
        <f t="shared" si="64"/>
        <v>53255</v>
      </c>
      <c r="E47" s="83">
        <f t="shared" si="64"/>
        <v>10284</v>
      </c>
      <c r="F47" s="83">
        <f t="shared" si="64"/>
        <v>10947</v>
      </c>
      <c r="G47" s="83">
        <f t="shared" si="64"/>
        <v>2209</v>
      </c>
      <c r="H47" s="83">
        <f t="shared" si="64"/>
        <v>29815</v>
      </c>
    </row>
    <row r="48" spans="1:43">
      <c r="A48" s="85" t="s">
        <v>44</v>
      </c>
      <c r="B48" s="86">
        <f>B47/B46*100</f>
        <v>153.96075581395345</v>
      </c>
      <c r="C48" s="86">
        <f t="shared" ref="C48:H48" si="65">C47/C46*100</f>
        <v>108.7248322147651</v>
      </c>
      <c r="D48" s="86">
        <f t="shared" si="65"/>
        <v>113.03434223373094</v>
      </c>
      <c r="E48" s="86">
        <f t="shared" si="65"/>
        <v>71.085919679270063</v>
      </c>
      <c r="F48" s="86">
        <f t="shared" si="65"/>
        <v>99.202537381060267</v>
      </c>
      <c r="G48" s="86">
        <f t="shared" si="65"/>
        <v>122.92710072342794</v>
      </c>
      <c r="H48" s="86">
        <f t="shared" si="65"/>
        <v>150.46681806712087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66">K13+S13+AK13</f>
        <v>28.099999999999998</v>
      </c>
      <c r="C50" s="90">
        <f t="shared" si="66"/>
        <v>1862</v>
      </c>
      <c r="D50" s="90">
        <f t="shared" si="66"/>
        <v>1382</v>
      </c>
      <c r="E50" s="90">
        <f t="shared" si="66"/>
        <v>242</v>
      </c>
      <c r="F50" s="90">
        <f t="shared" si="66"/>
        <v>575</v>
      </c>
      <c r="G50" s="90">
        <f t="shared" si="66"/>
        <v>79</v>
      </c>
      <c r="H50" s="90">
        <f t="shared" si="66"/>
        <v>486</v>
      </c>
    </row>
    <row r="51" spans="1:8">
      <c r="A51" s="75" t="s">
        <v>50</v>
      </c>
      <c r="B51" s="90">
        <f t="shared" si="66"/>
        <v>44.5</v>
      </c>
      <c r="C51" s="90">
        <f t="shared" si="66"/>
        <v>2141</v>
      </c>
      <c r="D51" s="90">
        <f t="shared" si="66"/>
        <v>1799</v>
      </c>
      <c r="E51" s="90">
        <f t="shared" si="66"/>
        <v>111</v>
      </c>
      <c r="F51" s="90">
        <f t="shared" si="66"/>
        <v>102</v>
      </c>
      <c r="G51" s="90">
        <f t="shared" si="66"/>
        <v>1</v>
      </c>
      <c r="H51" s="90">
        <f t="shared" si="66"/>
        <v>1585</v>
      </c>
    </row>
    <row r="52" spans="1:8">
      <c r="A52" s="75" t="s">
        <v>44</v>
      </c>
      <c r="B52" s="91">
        <f t="shared" ref="B52:H52" si="67">B51/B50*100</f>
        <v>158.36298932384344</v>
      </c>
      <c r="C52" s="91">
        <f t="shared" si="67"/>
        <v>114.98388829215898</v>
      </c>
      <c r="D52" s="91">
        <f t="shared" si="67"/>
        <v>130.17366136034732</v>
      </c>
      <c r="E52" s="91">
        <f t="shared" si="67"/>
        <v>45.867768595041326</v>
      </c>
      <c r="F52" s="91">
        <f t="shared" si="67"/>
        <v>17.739130434782606</v>
      </c>
      <c r="G52" s="91">
        <f t="shared" si="67"/>
        <v>1.2658227848101267</v>
      </c>
      <c r="H52" s="91">
        <f t="shared" si="67"/>
        <v>326.13168724279836</v>
      </c>
    </row>
    <row r="53" spans="1:8">
      <c r="A53" s="75" t="s">
        <v>13</v>
      </c>
      <c r="B53" s="90">
        <f t="shared" ref="B53:H55" si="68">K16+S16+AK16</f>
        <v>0.9</v>
      </c>
      <c r="C53" s="90">
        <f t="shared" si="68"/>
        <v>21</v>
      </c>
      <c r="D53" s="90">
        <f t="shared" si="68"/>
        <v>19</v>
      </c>
      <c r="E53" s="90">
        <f t="shared" si="68"/>
        <v>3</v>
      </c>
      <c r="F53" s="90">
        <f t="shared" si="68"/>
        <v>4</v>
      </c>
      <c r="G53" s="90">
        <f t="shared" si="68"/>
        <v>0</v>
      </c>
      <c r="H53" s="90">
        <f t="shared" si="68"/>
        <v>12</v>
      </c>
    </row>
    <row r="54" spans="1:8">
      <c r="A54" s="92" t="s">
        <v>14</v>
      </c>
      <c r="B54" s="90">
        <f t="shared" si="68"/>
        <v>0.7</v>
      </c>
      <c r="C54" s="90">
        <f t="shared" si="68"/>
        <v>49</v>
      </c>
      <c r="D54" s="90">
        <f t="shared" si="68"/>
        <v>49</v>
      </c>
      <c r="E54" s="90">
        <f t="shared" si="68"/>
        <v>0</v>
      </c>
      <c r="F54" s="90">
        <f t="shared" si="68"/>
        <v>0</v>
      </c>
      <c r="G54" s="90">
        <f t="shared" si="68"/>
        <v>0</v>
      </c>
      <c r="H54" s="90">
        <f t="shared" si="68"/>
        <v>49</v>
      </c>
    </row>
    <row r="55" spans="1:8">
      <c r="A55" s="75" t="s">
        <v>15</v>
      </c>
      <c r="B55" s="90">
        <f t="shared" si="68"/>
        <v>0</v>
      </c>
      <c r="C55" s="90">
        <f t="shared" si="68"/>
        <v>0</v>
      </c>
      <c r="D55" s="90">
        <f t="shared" si="68"/>
        <v>0</v>
      </c>
      <c r="E55" s="90">
        <f t="shared" si="68"/>
        <v>0</v>
      </c>
      <c r="F55" s="90">
        <f t="shared" si="68"/>
        <v>0</v>
      </c>
      <c r="G55" s="90">
        <f t="shared" si="68"/>
        <v>0</v>
      </c>
      <c r="H55" s="90">
        <f t="shared" si="68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69">K20+S20+AK20</f>
        <v>522</v>
      </c>
      <c r="C57" s="90">
        <f t="shared" si="69"/>
        <v>52076</v>
      </c>
      <c r="D57" s="90">
        <f t="shared" si="69"/>
        <v>45732</v>
      </c>
      <c r="E57" s="90">
        <f t="shared" si="69"/>
        <v>14225</v>
      </c>
      <c r="F57" s="90">
        <f t="shared" si="69"/>
        <v>10460</v>
      </c>
      <c r="G57" s="90">
        <f t="shared" si="69"/>
        <v>1718</v>
      </c>
      <c r="H57" s="90">
        <f t="shared" si="69"/>
        <v>19329</v>
      </c>
    </row>
    <row r="58" spans="1:8">
      <c r="A58" s="92" t="s">
        <v>50</v>
      </c>
      <c r="B58" s="90">
        <f t="shared" si="69"/>
        <v>802.90000000000009</v>
      </c>
      <c r="C58" s="90">
        <f t="shared" si="69"/>
        <v>56503</v>
      </c>
      <c r="D58" s="90">
        <f t="shared" si="69"/>
        <v>51456</v>
      </c>
      <c r="E58" s="90">
        <f t="shared" si="69"/>
        <v>10173</v>
      </c>
      <c r="F58" s="90">
        <f t="shared" si="69"/>
        <v>10845</v>
      </c>
      <c r="G58" s="90">
        <f t="shared" si="69"/>
        <v>2208</v>
      </c>
      <c r="H58" s="90">
        <f t="shared" si="69"/>
        <v>28230</v>
      </c>
    </row>
    <row r="59" spans="1:8">
      <c r="A59" s="75" t="s">
        <v>44</v>
      </c>
      <c r="B59" s="91">
        <f t="shared" ref="B59:H59" si="70">B58/B57*100</f>
        <v>153.8122605363985</v>
      </c>
      <c r="C59" s="91">
        <f t="shared" si="70"/>
        <v>108.50103694600199</v>
      </c>
      <c r="D59" s="91">
        <f t="shared" si="70"/>
        <v>112.51639989504068</v>
      </c>
      <c r="E59" s="91">
        <f t="shared" si="70"/>
        <v>71.514938488576448</v>
      </c>
      <c r="F59" s="91">
        <f t="shared" si="70"/>
        <v>103.68068833652006</v>
      </c>
      <c r="G59" s="91">
        <f t="shared" si="70"/>
        <v>128.52153667054716</v>
      </c>
      <c r="H59" s="91">
        <f t="shared" si="70"/>
        <v>146.04997671891974</v>
      </c>
    </row>
    <row r="60" spans="1:8">
      <c r="A60" s="75" t="s">
        <v>21</v>
      </c>
      <c r="B60" s="90">
        <f t="shared" ref="B60:H61" si="71">K23+S23+AK23</f>
        <v>0</v>
      </c>
      <c r="C60" s="90">
        <f t="shared" si="71"/>
        <v>0</v>
      </c>
      <c r="D60" s="90">
        <f t="shared" si="71"/>
        <v>0</v>
      </c>
      <c r="E60" s="90">
        <f t="shared" si="71"/>
        <v>0</v>
      </c>
      <c r="F60" s="90">
        <f t="shared" si="71"/>
        <v>0</v>
      </c>
      <c r="G60" s="90">
        <f t="shared" si="71"/>
        <v>0</v>
      </c>
      <c r="H60" s="90">
        <f t="shared" si="71"/>
        <v>0</v>
      </c>
    </row>
    <row r="61" spans="1:8">
      <c r="A61" s="75" t="s">
        <v>51</v>
      </c>
      <c r="B61" s="90">
        <f t="shared" si="71"/>
        <v>0</v>
      </c>
      <c r="C61" s="90">
        <f t="shared" si="71"/>
        <v>0</v>
      </c>
      <c r="D61" s="90">
        <f t="shared" si="71"/>
        <v>0</v>
      </c>
      <c r="E61" s="90">
        <f t="shared" si="71"/>
        <v>0</v>
      </c>
      <c r="F61" s="90">
        <f t="shared" si="71"/>
        <v>0</v>
      </c>
      <c r="G61" s="90">
        <f t="shared" si="71"/>
        <v>0</v>
      </c>
      <c r="H61" s="90">
        <f t="shared" si="71"/>
        <v>0</v>
      </c>
    </row>
    <row r="62" spans="1:8">
      <c r="A62" s="75" t="s">
        <v>12</v>
      </c>
      <c r="B62" s="91" t="e">
        <f t="shared" ref="B62:H62" si="72">B61/B60*100</f>
        <v>#DIV/0!</v>
      </c>
      <c r="C62" s="91" t="e">
        <f t="shared" si="72"/>
        <v>#DIV/0!</v>
      </c>
      <c r="D62" s="91" t="e">
        <f t="shared" si="72"/>
        <v>#DIV/0!</v>
      </c>
      <c r="E62" s="91" t="e">
        <f t="shared" si="72"/>
        <v>#DIV/0!</v>
      </c>
      <c r="F62" s="91" t="e">
        <f t="shared" si="72"/>
        <v>#DIV/0!</v>
      </c>
      <c r="G62" s="91" t="e">
        <f t="shared" si="72"/>
        <v>#DIV/0!</v>
      </c>
      <c r="H62" s="91" t="e">
        <f t="shared" si="72"/>
        <v>#DIV/0!</v>
      </c>
    </row>
    <row r="63" spans="1:8">
      <c r="A63" s="75" t="s">
        <v>23</v>
      </c>
      <c r="B63" s="90">
        <f t="shared" ref="B63:H64" si="73">K26+S26+AK26</f>
        <v>27.4</v>
      </c>
      <c r="C63" s="90">
        <f t="shared" si="73"/>
        <v>1392</v>
      </c>
      <c r="D63" s="90">
        <f t="shared" si="73"/>
        <v>1233</v>
      </c>
      <c r="E63" s="90">
        <f t="shared" si="73"/>
        <v>142</v>
      </c>
      <c r="F63" s="90">
        <f t="shared" si="73"/>
        <v>344</v>
      </c>
      <c r="G63" s="90">
        <f t="shared" si="73"/>
        <v>39</v>
      </c>
      <c r="H63" s="90">
        <f t="shared" si="73"/>
        <v>708</v>
      </c>
    </row>
    <row r="64" spans="1:8">
      <c r="A64" s="75" t="s">
        <v>45</v>
      </c>
      <c r="B64" s="90">
        <f t="shared" si="73"/>
        <v>83.2</v>
      </c>
      <c r="C64" s="90">
        <f t="shared" si="73"/>
        <v>1809</v>
      </c>
      <c r="D64" s="90">
        <f t="shared" si="73"/>
        <v>1670</v>
      </c>
      <c r="E64" s="90">
        <f t="shared" si="73"/>
        <v>72</v>
      </c>
      <c r="F64" s="90">
        <f t="shared" si="73"/>
        <v>92</v>
      </c>
      <c r="G64" s="90">
        <f t="shared" si="73"/>
        <v>1</v>
      </c>
      <c r="H64" s="90">
        <f t="shared" si="73"/>
        <v>1505</v>
      </c>
    </row>
    <row r="65" spans="1:8">
      <c r="A65" s="75" t="s">
        <v>12</v>
      </c>
      <c r="B65" s="91">
        <f t="shared" ref="B65:H65" si="74">B64/B63*100</f>
        <v>303.64963503649636</v>
      </c>
      <c r="C65" s="91">
        <f t="shared" si="74"/>
        <v>129.95689655172413</v>
      </c>
      <c r="D65" s="91">
        <f t="shared" si="74"/>
        <v>135.44201135442012</v>
      </c>
      <c r="E65" s="91">
        <f t="shared" si="74"/>
        <v>50.704225352112672</v>
      </c>
      <c r="F65" s="91">
        <f t="shared" si="74"/>
        <v>26.744186046511626</v>
      </c>
      <c r="G65" s="91">
        <f t="shared" si="74"/>
        <v>2.5641025641025639</v>
      </c>
      <c r="H65" s="91">
        <f t="shared" si="74"/>
        <v>212.57062146892656</v>
      </c>
    </row>
    <row r="66" spans="1:8">
      <c r="A66" s="75" t="s">
        <v>25</v>
      </c>
      <c r="B66" s="90">
        <f t="shared" ref="B66:H67" si="75">K29+S29+AK29</f>
        <v>38.200000000000003</v>
      </c>
      <c r="C66" s="90">
        <f t="shared" si="75"/>
        <v>1917</v>
      </c>
      <c r="D66" s="90">
        <f t="shared" si="75"/>
        <v>1700</v>
      </c>
      <c r="E66" s="90">
        <f t="shared" si="75"/>
        <v>147</v>
      </c>
      <c r="F66" s="90">
        <f t="shared" si="75"/>
        <v>466</v>
      </c>
      <c r="G66" s="90">
        <f t="shared" si="75"/>
        <v>81</v>
      </c>
      <c r="H66" s="90">
        <f t="shared" si="75"/>
        <v>1006</v>
      </c>
    </row>
    <row r="67" spans="1:8">
      <c r="A67" s="75" t="s">
        <v>46</v>
      </c>
      <c r="B67" s="90">
        <f t="shared" si="75"/>
        <v>59.8</v>
      </c>
      <c r="C67" s="90">
        <f t="shared" si="75"/>
        <v>1750</v>
      </c>
      <c r="D67" s="90">
        <f t="shared" si="75"/>
        <v>1659</v>
      </c>
      <c r="E67" s="90">
        <f t="shared" si="75"/>
        <v>321</v>
      </c>
      <c r="F67" s="90">
        <f t="shared" si="75"/>
        <v>65</v>
      </c>
      <c r="G67" s="90">
        <f t="shared" si="75"/>
        <v>16</v>
      </c>
      <c r="H67" s="90">
        <f t="shared" si="75"/>
        <v>1257</v>
      </c>
    </row>
    <row r="68" spans="1:8">
      <c r="A68" s="75" t="s">
        <v>12</v>
      </c>
      <c r="B68" s="91">
        <f t="shared" ref="B68:H68" si="76">B67/B66*100</f>
        <v>156.54450261780102</v>
      </c>
      <c r="C68" s="91">
        <f t="shared" si="76"/>
        <v>91.288471570161704</v>
      </c>
      <c r="D68" s="91">
        <f t="shared" si="76"/>
        <v>97.588235294117638</v>
      </c>
      <c r="E68" s="91">
        <f t="shared" si="76"/>
        <v>218.36734693877551</v>
      </c>
      <c r="F68" s="91">
        <f t="shared" si="76"/>
        <v>13.948497854077251</v>
      </c>
      <c r="G68" s="91">
        <f t="shared" si="76"/>
        <v>19.753086419753085</v>
      </c>
      <c r="H68" s="91">
        <f t="shared" si="76"/>
        <v>124.95029821073558</v>
      </c>
    </row>
    <row r="69" spans="1:8">
      <c r="A69" s="75" t="s">
        <v>27</v>
      </c>
      <c r="B69" s="90">
        <f t="shared" ref="B69:H70" si="77">K32+S32+AK32</f>
        <v>66.900000000000006</v>
      </c>
      <c r="C69" s="90">
        <f t="shared" si="77"/>
        <v>17357</v>
      </c>
      <c r="D69" s="90">
        <f t="shared" si="77"/>
        <v>15805</v>
      </c>
      <c r="E69" s="90">
        <f t="shared" si="77"/>
        <v>10762</v>
      </c>
      <c r="F69" s="90">
        <f t="shared" si="77"/>
        <v>2609</v>
      </c>
      <c r="G69" s="90">
        <f t="shared" si="77"/>
        <v>176</v>
      </c>
      <c r="H69" s="90">
        <f t="shared" si="77"/>
        <v>2258</v>
      </c>
    </row>
    <row r="70" spans="1:8">
      <c r="A70" s="75" t="s">
        <v>47</v>
      </c>
      <c r="B70" s="90">
        <f t="shared" si="77"/>
        <v>19.399999999999999</v>
      </c>
      <c r="C70" s="90">
        <f t="shared" si="77"/>
        <v>6531</v>
      </c>
      <c r="D70" s="90">
        <f t="shared" si="77"/>
        <v>6469</v>
      </c>
      <c r="E70" s="90">
        <f t="shared" si="77"/>
        <v>5348</v>
      </c>
      <c r="F70" s="90">
        <f t="shared" si="77"/>
        <v>480</v>
      </c>
      <c r="G70" s="90">
        <f t="shared" si="77"/>
        <v>272</v>
      </c>
      <c r="H70" s="90">
        <f t="shared" si="77"/>
        <v>369</v>
      </c>
    </row>
    <row r="71" spans="1:8">
      <c r="A71" s="75" t="s">
        <v>12</v>
      </c>
      <c r="B71" s="91">
        <f t="shared" ref="B71:H71" si="78">B70/B69*100</f>
        <v>28.99850523168908</v>
      </c>
      <c r="C71" s="91">
        <f t="shared" si="78"/>
        <v>37.627470184939796</v>
      </c>
      <c r="D71" s="91">
        <f t="shared" si="78"/>
        <v>40.930085416007593</v>
      </c>
      <c r="E71" s="91">
        <f t="shared" si="78"/>
        <v>49.693365545437651</v>
      </c>
      <c r="F71" s="91">
        <f t="shared" si="78"/>
        <v>18.397853583748564</v>
      </c>
      <c r="G71" s="91">
        <f t="shared" si="78"/>
        <v>154.54545454545453</v>
      </c>
      <c r="H71" s="91">
        <f t="shared" si="78"/>
        <v>16.341895482728077</v>
      </c>
    </row>
    <row r="72" spans="1:8">
      <c r="A72" s="75" t="s">
        <v>29</v>
      </c>
      <c r="B72" s="90">
        <f t="shared" ref="B72:H73" si="79">K35+S35+AK35</f>
        <v>240.29999999999998</v>
      </c>
      <c r="C72" s="90">
        <f t="shared" si="79"/>
        <v>21384</v>
      </c>
      <c r="D72" s="90">
        <f t="shared" si="79"/>
        <v>18655</v>
      </c>
      <c r="E72" s="90">
        <f t="shared" si="79"/>
        <v>1498</v>
      </c>
      <c r="F72" s="90">
        <f t="shared" si="79"/>
        <v>5367</v>
      </c>
      <c r="G72" s="90">
        <f t="shared" si="79"/>
        <v>1092</v>
      </c>
      <c r="H72" s="90">
        <f t="shared" si="79"/>
        <v>10698</v>
      </c>
    </row>
    <row r="73" spans="1:8">
      <c r="A73" s="75" t="s">
        <v>48</v>
      </c>
      <c r="B73" s="90">
        <f t="shared" si="79"/>
        <v>394.7</v>
      </c>
      <c r="C73" s="90">
        <f t="shared" si="79"/>
        <v>33022</v>
      </c>
      <c r="D73" s="90">
        <f t="shared" si="79"/>
        <v>29013</v>
      </c>
      <c r="E73" s="90">
        <f t="shared" si="79"/>
        <v>2164</v>
      </c>
      <c r="F73" s="90">
        <f t="shared" si="79"/>
        <v>8091</v>
      </c>
      <c r="G73" s="90">
        <f t="shared" si="79"/>
        <v>1682</v>
      </c>
      <c r="H73" s="90">
        <f t="shared" si="79"/>
        <v>17076</v>
      </c>
    </row>
    <row r="74" spans="1:8">
      <c r="A74" s="75" t="s">
        <v>12</v>
      </c>
      <c r="B74" s="91">
        <f t="shared" ref="B74:H74" si="80">B73/B72*100</f>
        <v>164.25301706200582</v>
      </c>
      <c r="C74" s="91">
        <f t="shared" si="80"/>
        <v>154.42386831275721</v>
      </c>
      <c r="D74" s="91">
        <f t="shared" si="80"/>
        <v>155.52398820691505</v>
      </c>
      <c r="E74" s="91">
        <f t="shared" si="80"/>
        <v>144.45927903871828</v>
      </c>
      <c r="F74" s="91">
        <f t="shared" si="80"/>
        <v>150.75461151481275</v>
      </c>
      <c r="G74" s="91">
        <f t="shared" si="80"/>
        <v>154.02930402930403</v>
      </c>
      <c r="H74" s="91">
        <f t="shared" si="80"/>
        <v>159.61862030286034</v>
      </c>
    </row>
    <row r="75" spans="1:8">
      <c r="A75" s="75" t="s">
        <v>31</v>
      </c>
      <c r="B75" s="90">
        <f t="shared" ref="B75:H76" si="81">K38+S38+AK38</f>
        <v>149.19999999999999</v>
      </c>
      <c r="C75" s="90">
        <f t="shared" si="81"/>
        <v>10026</v>
      </c>
      <c r="D75" s="90">
        <f t="shared" si="81"/>
        <v>8339</v>
      </c>
      <c r="E75" s="90">
        <f t="shared" si="81"/>
        <v>1676</v>
      </c>
      <c r="F75" s="90">
        <f t="shared" si="81"/>
        <v>1674</v>
      </c>
      <c r="G75" s="90">
        <f t="shared" si="81"/>
        <v>330</v>
      </c>
      <c r="H75" s="90">
        <f t="shared" si="81"/>
        <v>4659</v>
      </c>
    </row>
    <row r="76" spans="1:8">
      <c r="A76" s="75" t="s">
        <v>52</v>
      </c>
      <c r="B76" s="90">
        <f t="shared" si="81"/>
        <v>245.79999999999998</v>
      </c>
      <c r="C76" s="90">
        <f t="shared" si="81"/>
        <v>13391</v>
      </c>
      <c r="D76" s="90">
        <f t="shared" si="81"/>
        <v>12645</v>
      </c>
      <c r="E76" s="90">
        <f t="shared" si="81"/>
        <v>2268</v>
      </c>
      <c r="F76" s="90">
        <f t="shared" si="81"/>
        <v>2117</v>
      </c>
      <c r="G76" s="90">
        <f t="shared" si="81"/>
        <v>237</v>
      </c>
      <c r="H76" s="90">
        <f t="shared" si="81"/>
        <v>8023</v>
      </c>
    </row>
    <row r="77" spans="1:8">
      <c r="A77" s="75" t="s">
        <v>12</v>
      </c>
      <c r="B77" s="91">
        <f t="shared" ref="B77:H77" si="82">B76/B75*100</f>
        <v>164.74530831099196</v>
      </c>
      <c r="C77" s="91">
        <f t="shared" si="82"/>
        <v>133.56273688410135</v>
      </c>
      <c r="D77" s="91">
        <f t="shared" si="82"/>
        <v>151.63688691689651</v>
      </c>
      <c r="E77" s="91">
        <f t="shared" si="82"/>
        <v>135.32219570405729</v>
      </c>
      <c r="F77" s="91">
        <f t="shared" si="82"/>
        <v>126.46356033452808</v>
      </c>
      <c r="G77" s="91">
        <f t="shared" si="82"/>
        <v>71.818181818181813</v>
      </c>
      <c r="H77" s="91">
        <f t="shared" si="82"/>
        <v>172.204335694355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83">B9-B46</f>
        <v>-0.30000000000006821</v>
      </c>
      <c r="C83" s="83">
        <f t="shared" si="83"/>
        <v>0</v>
      </c>
      <c r="D83" s="83">
        <f t="shared" si="83"/>
        <v>0</v>
      </c>
      <c r="E83" s="83">
        <f t="shared" si="83"/>
        <v>0</v>
      </c>
      <c r="F83" s="83">
        <f t="shared" si="83"/>
        <v>0</v>
      </c>
      <c r="G83" s="83">
        <f t="shared" si="83"/>
        <v>0</v>
      </c>
      <c r="H83" s="83">
        <f t="shared" si="83"/>
        <v>0</v>
      </c>
    </row>
    <row r="84" spans="1:8">
      <c r="A84" s="84" t="s">
        <v>50</v>
      </c>
      <c r="B84" s="83">
        <f t="shared" si="83"/>
        <v>0</v>
      </c>
      <c r="C84" s="83">
        <f t="shared" si="83"/>
        <v>0</v>
      </c>
      <c r="D84" s="83">
        <f t="shared" si="83"/>
        <v>0</v>
      </c>
      <c r="E84" s="83">
        <f t="shared" si="83"/>
        <v>0</v>
      </c>
      <c r="F84" s="83">
        <f t="shared" si="83"/>
        <v>0</v>
      </c>
      <c r="G84" s="83">
        <f t="shared" si="83"/>
        <v>0</v>
      </c>
      <c r="H84" s="83">
        <f t="shared" si="83"/>
        <v>0</v>
      </c>
    </row>
    <row r="85" spans="1:8">
      <c r="A85" s="85" t="s">
        <v>44</v>
      </c>
      <c r="B85" s="83">
        <f t="shared" si="83"/>
        <v>8.3963328020729477E-2</v>
      </c>
      <c r="C85" s="83">
        <f t="shared" si="83"/>
        <v>0</v>
      </c>
      <c r="D85" s="83">
        <f t="shared" si="83"/>
        <v>0</v>
      </c>
      <c r="E85" s="83">
        <f t="shared" si="83"/>
        <v>0</v>
      </c>
      <c r="F85" s="83">
        <f t="shared" si="83"/>
        <v>0</v>
      </c>
      <c r="G85" s="83">
        <f t="shared" si="83"/>
        <v>0</v>
      </c>
      <c r="H85" s="83">
        <f t="shared" si="83"/>
        <v>0</v>
      </c>
    </row>
    <row r="86" spans="1:8">
      <c r="A86" s="87" t="s">
        <v>11</v>
      </c>
      <c r="B86" s="83">
        <f t="shared" si="83"/>
        <v>0</v>
      </c>
      <c r="C86" s="83">
        <f t="shared" si="83"/>
        <v>0</v>
      </c>
      <c r="D86" s="83">
        <f t="shared" si="83"/>
        <v>0</v>
      </c>
      <c r="E86" s="83">
        <f t="shared" si="83"/>
        <v>0</v>
      </c>
      <c r="F86" s="83">
        <f t="shared" si="83"/>
        <v>0</v>
      </c>
      <c r="G86" s="83">
        <f t="shared" si="83"/>
        <v>0</v>
      </c>
      <c r="H86" s="83">
        <f t="shared" si="83"/>
        <v>0</v>
      </c>
    </row>
    <row r="87" spans="1:8">
      <c r="A87" s="75" t="s">
        <v>40</v>
      </c>
      <c r="B87" s="83">
        <f t="shared" si="83"/>
        <v>0</v>
      </c>
      <c r="C87" s="83">
        <f t="shared" si="83"/>
        <v>0</v>
      </c>
      <c r="D87" s="83">
        <f t="shared" si="83"/>
        <v>0</v>
      </c>
      <c r="E87" s="83">
        <f t="shared" si="83"/>
        <v>0</v>
      </c>
      <c r="F87" s="83">
        <f t="shared" si="83"/>
        <v>0</v>
      </c>
      <c r="G87" s="83">
        <f t="shared" si="83"/>
        <v>0</v>
      </c>
      <c r="H87" s="83">
        <f t="shared" si="83"/>
        <v>0</v>
      </c>
    </row>
    <row r="88" spans="1:8">
      <c r="A88" s="75" t="s">
        <v>50</v>
      </c>
      <c r="B88" s="83">
        <f t="shared" si="83"/>
        <v>0</v>
      </c>
      <c r="C88" s="83">
        <f t="shared" si="83"/>
        <v>0</v>
      </c>
      <c r="D88" s="83">
        <f t="shared" si="83"/>
        <v>0</v>
      </c>
      <c r="E88" s="83">
        <f t="shared" si="83"/>
        <v>0</v>
      </c>
      <c r="F88" s="83">
        <f t="shared" si="83"/>
        <v>0</v>
      </c>
      <c r="G88" s="83">
        <f t="shared" si="83"/>
        <v>0</v>
      </c>
      <c r="H88" s="83">
        <f t="shared" si="83"/>
        <v>0</v>
      </c>
    </row>
    <row r="89" spans="1:8">
      <c r="A89" s="75" t="s">
        <v>44</v>
      </c>
      <c r="B89" s="83">
        <f t="shared" si="83"/>
        <v>0</v>
      </c>
      <c r="C89" s="83">
        <f t="shared" si="83"/>
        <v>0</v>
      </c>
      <c r="D89" s="83">
        <f t="shared" si="83"/>
        <v>0</v>
      </c>
      <c r="E89" s="83">
        <f t="shared" si="83"/>
        <v>0</v>
      </c>
      <c r="F89" s="83">
        <f t="shared" si="83"/>
        <v>0</v>
      </c>
      <c r="G89" s="83">
        <f t="shared" si="83"/>
        <v>0</v>
      </c>
      <c r="H89" s="83">
        <f t="shared" si="83"/>
        <v>0</v>
      </c>
    </row>
    <row r="90" spans="1:8">
      <c r="A90" s="75" t="s">
        <v>13</v>
      </c>
      <c r="B90" s="83">
        <f t="shared" si="83"/>
        <v>0</v>
      </c>
      <c r="C90" s="83">
        <f t="shared" si="83"/>
        <v>0</v>
      </c>
      <c r="D90" s="83">
        <f t="shared" si="83"/>
        <v>0</v>
      </c>
      <c r="E90" s="83">
        <f t="shared" si="83"/>
        <v>0</v>
      </c>
      <c r="F90" s="83">
        <f t="shared" si="83"/>
        <v>0</v>
      </c>
      <c r="G90" s="83">
        <f t="shared" si="83"/>
        <v>0</v>
      </c>
      <c r="H90" s="83">
        <f t="shared" si="83"/>
        <v>0</v>
      </c>
    </row>
    <row r="91" spans="1:8">
      <c r="A91" s="92" t="s">
        <v>14</v>
      </c>
      <c r="B91" s="83">
        <f t="shared" si="83"/>
        <v>0</v>
      </c>
      <c r="C91" s="83">
        <f t="shared" si="83"/>
        <v>0</v>
      </c>
      <c r="D91" s="83">
        <f t="shared" si="83"/>
        <v>0</v>
      </c>
      <c r="E91" s="83">
        <f t="shared" si="83"/>
        <v>0</v>
      </c>
      <c r="F91" s="83">
        <f t="shared" si="83"/>
        <v>0</v>
      </c>
      <c r="G91" s="83">
        <f t="shared" si="83"/>
        <v>0</v>
      </c>
      <c r="H91" s="83">
        <f t="shared" si="83"/>
        <v>0</v>
      </c>
    </row>
    <row r="92" spans="1:8">
      <c r="A92" s="75" t="s">
        <v>15</v>
      </c>
      <c r="B92" s="83">
        <f t="shared" si="83"/>
        <v>0</v>
      </c>
      <c r="C92" s="83">
        <f t="shared" si="83"/>
        <v>0</v>
      </c>
      <c r="D92" s="83">
        <f t="shared" si="83"/>
        <v>0</v>
      </c>
      <c r="E92" s="83">
        <f t="shared" si="83"/>
        <v>0</v>
      </c>
      <c r="F92" s="83">
        <f t="shared" si="83"/>
        <v>0</v>
      </c>
      <c r="G92" s="83">
        <f t="shared" si="83"/>
        <v>0</v>
      </c>
      <c r="H92" s="83">
        <f t="shared" si="83"/>
        <v>0</v>
      </c>
    </row>
    <row r="93" spans="1:8">
      <c r="A93" s="87" t="s">
        <v>16</v>
      </c>
      <c r="B93" s="83">
        <f t="shared" si="83"/>
        <v>0</v>
      </c>
      <c r="C93" s="83">
        <f t="shared" si="83"/>
        <v>0</v>
      </c>
      <c r="D93" s="83">
        <f t="shared" si="83"/>
        <v>0</v>
      </c>
      <c r="E93" s="83">
        <f t="shared" si="83"/>
        <v>0</v>
      </c>
      <c r="F93" s="83">
        <f t="shared" si="83"/>
        <v>0</v>
      </c>
      <c r="G93" s="83">
        <f t="shared" si="83"/>
        <v>0</v>
      </c>
      <c r="H93" s="83">
        <f t="shared" si="83"/>
        <v>0</v>
      </c>
    </row>
    <row r="94" spans="1:8">
      <c r="A94" s="75" t="s">
        <v>40</v>
      </c>
      <c r="B94" s="83">
        <f t="shared" si="83"/>
        <v>0</v>
      </c>
      <c r="C94" s="83">
        <f t="shared" si="83"/>
        <v>0</v>
      </c>
      <c r="D94" s="83">
        <f t="shared" si="83"/>
        <v>0</v>
      </c>
      <c r="E94" s="83">
        <f t="shared" si="83"/>
        <v>0</v>
      </c>
      <c r="F94" s="83">
        <f t="shared" si="83"/>
        <v>0</v>
      </c>
      <c r="G94" s="83">
        <f t="shared" si="83"/>
        <v>0</v>
      </c>
      <c r="H94" s="83">
        <f t="shared" si="83"/>
        <v>0</v>
      </c>
    </row>
    <row r="95" spans="1:8">
      <c r="A95" s="92" t="s">
        <v>50</v>
      </c>
      <c r="B95" s="83">
        <f t="shared" si="83"/>
        <v>0</v>
      </c>
      <c r="C95" s="83">
        <f t="shared" si="83"/>
        <v>0</v>
      </c>
      <c r="D95" s="83">
        <f t="shared" si="83"/>
        <v>0</v>
      </c>
      <c r="E95" s="83">
        <f t="shared" si="83"/>
        <v>0</v>
      </c>
      <c r="F95" s="83">
        <f t="shared" si="83"/>
        <v>0</v>
      </c>
      <c r="G95" s="83">
        <f t="shared" si="83"/>
        <v>0</v>
      </c>
      <c r="H95" s="83">
        <f t="shared" si="83"/>
        <v>0</v>
      </c>
    </row>
    <row r="96" spans="1:8">
      <c r="A96" s="75" t="s">
        <v>44</v>
      </c>
      <c r="B96" s="83">
        <f t="shared" si="83"/>
        <v>0</v>
      </c>
      <c r="C96" s="83">
        <f t="shared" si="83"/>
        <v>0</v>
      </c>
      <c r="D96" s="83">
        <f t="shared" si="83"/>
        <v>0</v>
      </c>
      <c r="E96" s="83">
        <f t="shared" si="83"/>
        <v>0</v>
      </c>
      <c r="F96" s="83">
        <f t="shared" si="83"/>
        <v>0</v>
      </c>
      <c r="G96" s="83">
        <f t="shared" si="83"/>
        <v>0</v>
      </c>
      <c r="H96" s="83">
        <f t="shared" si="83"/>
        <v>0</v>
      </c>
    </row>
    <row r="97" spans="1:8">
      <c r="A97" s="75" t="s">
        <v>21</v>
      </c>
      <c r="B97" s="83">
        <f t="shared" si="83"/>
        <v>0</v>
      </c>
      <c r="C97" s="83">
        <f t="shared" si="83"/>
        <v>0</v>
      </c>
      <c r="D97" s="83">
        <f t="shared" si="83"/>
        <v>0</v>
      </c>
      <c r="E97" s="83">
        <f t="shared" si="83"/>
        <v>0</v>
      </c>
      <c r="F97" s="83">
        <f t="shared" si="83"/>
        <v>0</v>
      </c>
      <c r="G97" s="83">
        <f t="shared" si="83"/>
        <v>0</v>
      </c>
      <c r="H97" s="83">
        <f t="shared" si="83"/>
        <v>0</v>
      </c>
    </row>
    <row r="98" spans="1:8">
      <c r="A98" s="75" t="s">
        <v>51</v>
      </c>
      <c r="B98" s="83">
        <f t="shared" si="83"/>
        <v>0</v>
      </c>
      <c r="C98" s="83">
        <f t="shared" si="83"/>
        <v>0</v>
      </c>
      <c r="D98" s="83">
        <f t="shared" si="83"/>
        <v>0</v>
      </c>
      <c r="E98" s="83">
        <f t="shared" si="83"/>
        <v>0</v>
      </c>
      <c r="F98" s="83">
        <f t="shared" si="83"/>
        <v>0</v>
      </c>
      <c r="G98" s="83">
        <f t="shared" si="83"/>
        <v>0</v>
      </c>
      <c r="H98" s="83">
        <f t="shared" si="83"/>
        <v>0</v>
      </c>
    </row>
    <row r="99" spans="1:8">
      <c r="A99" s="75" t="s">
        <v>12</v>
      </c>
      <c r="B99" s="83" t="e">
        <f t="shared" ref="B99:H114" si="84">B25-B62</f>
        <v>#DIV/0!</v>
      </c>
      <c r="C99" s="83" t="e">
        <f t="shared" si="84"/>
        <v>#DIV/0!</v>
      </c>
      <c r="D99" s="83" t="e">
        <f t="shared" si="84"/>
        <v>#DIV/0!</v>
      </c>
      <c r="E99" s="83" t="e">
        <f t="shared" si="84"/>
        <v>#DIV/0!</v>
      </c>
      <c r="F99" s="83" t="e">
        <f t="shared" si="84"/>
        <v>#DIV/0!</v>
      </c>
      <c r="G99" s="83" t="e">
        <f t="shared" si="84"/>
        <v>#DIV/0!</v>
      </c>
      <c r="H99" s="83" t="e">
        <f t="shared" si="84"/>
        <v>#DIV/0!</v>
      </c>
    </row>
    <row r="100" spans="1:8">
      <c r="A100" s="75" t="s">
        <v>23</v>
      </c>
      <c r="B100" s="83">
        <f t="shared" si="84"/>
        <v>0</v>
      </c>
      <c r="C100" s="83">
        <f t="shared" si="84"/>
        <v>0</v>
      </c>
      <c r="D100" s="83">
        <f t="shared" si="84"/>
        <v>0</v>
      </c>
      <c r="E100" s="83">
        <f t="shared" si="84"/>
        <v>0</v>
      </c>
      <c r="F100" s="83">
        <f t="shared" si="84"/>
        <v>0</v>
      </c>
      <c r="G100" s="83">
        <f t="shared" si="84"/>
        <v>0</v>
      </c>
      <c r="H100" s="83">
        <f t="shared" si="84"/>
        <v>0</v>
      </c>
    </row>
    <row r="101" spans="1:8">
      <c r="A101" s="75" t="s">
        <v>45</v>
      </c>
      <c r="B101" s="83">
        <f t="shared" si="84"/>
        <v>0</v>
      </c>
      <c r="C101" s="83">
        <f t="shared" si="84"/>
        <v>0</v>
      </c>
      <c r="D101" s="83">
        <f t="shared" si="84"/>
        <v>0</v>
      </c>
      <c r="E101" s="83">
        <f t="shared" si="84"/>
        <v>0</v>
      </c>
      <c r="F101" s="83">
        <f t="shared" si="84"/>
        <v>0</v>
      </c>
      <c r="G101" s="83">
        <f t="shared" si="84"/>
        <v>0</v>
      </c>
      <c r="H101" s="83">
        <f t="shared" si="84"/>
        <v>0</v>
      </c>
    </row>
    <row r="102" spans="1:8">
      <c r="A102" s="75" t="s">
        <v>12</v>
      </c>
      <c r="B102" s="83">
        <f t="shared" si="84"/>
        <v>0</v>
      </c>
      <c r="C102" s="83">
        <f t="shared" si="84"/>
        <v>0</v>
      </c>
      <c r="D102" s="83">
        <f t="shared" si="84"/>
        <v>0</v>
      </c>
      <c r="E102" s="83">
        <f t="shared" si="84"/>
        <v>0</v>
      </c>
      <c r="F102" s="83">
        <f t="shared" si="84"/>
        <v>0</v>
      </c>
      <c r="G102" s="83">
        <f t="shared" si="84"/>
        <v>0</v>
      </c>
      <c r="H102" s="83">
        <f t="shared" si="84"/>
        <v>0</v>
      </c>
    </row>
    <row r="103" spans="1:8">
      <c r="A103" s="75" t="s">
        <v>25</v>
      </c>
      <c r="B103" s="83">
        <f t="shared" si="84"/>
        <v>0</v>
      </c>
      <c r="C103" s="83">
        <f t="shared" si="84"/>
        <v>0</v>
      </c>
      <c r="D103" s="83">
        <f t="shared" si="84"/>
        <v>0</v>
      </c>
      <c r="E103" s="83">
        <f t="shared" si="84"/>
        <v>0</v>
      </c>
      <c r="F103" s="83">
        <f t="shared" si="84"/>
        <v>0</v>
      </c>
      <c r="G103" s="83">
        <f t="shared" si="84"/>
        <v>0</v>
      </c>
      <c r="H103" s="83">
        <f t="shared" si="84"/>
        <v>0</v>
      </c>
    </row>
    <row r="104" spans="1:8">
      <c r="A104" s="75" t="s">
        <v>46</v>
      </c>
      <c r="B104" s="83">
        <f t="shared" si="84"/>
        <v>0</v>
      </c>
      <c r="C104" s="83">
        <f t="shared" si="84"/>
        <v>0</v>
      </c>
      <c r="D104" s="83">
        <f t="shared" si="84"/>
        <v>0</v>
      </c>
      <c r="E104" s="83">
        <f t="shared" si="84"/>
        <v>0</v>
      </c>
      <c r="F104" s="83">
        <f t="shared" si="84"/>
        <v>0</v>
      </c>
      <c r="G104" s="83">
        <f t="shared" si="84"/>
        <v>0</v>
      </c>
      <c r="H104" s="83">
        <f t="shared" si="84"/>
        <v>0</v>
      </c>
    </row>
    <row r="105" spans="1:8">
      <c r="A105" s="75" t="s">
        <v>12</v>
      </c>
      <c r="B105" s="83">
        <f t="shared" si="84"/>
        <v>0</v>
      </c>
      <c r="C105" s="83">
        <f t="shared" si="84"/>
        <v>0</v>
      </c>
      <c r="D105" s="83">
        <f t="shared" si="84"/>
        <v>0</v>
      </c>
      <c r="E105" s="83">
        <f t="shared" si="84"/>
        <v>0</v>
      </c>
      <c r="F105" s="83">
        <f t="shared" si="84"/>
        <v>0</v>
      </c>
      <c r="G105" s="83">
        <f t="shared" si="84"/>
        <v>0</v>
      </c>
      <c r="H105" s="83">
        <f t="shared" si="84"/>
        <v>0</v>
      </c>
    </row>
    <row r="106" spans="1:8">
      <c r="A106" s="75" t="s">
        <v>27</v>
      </c>
      <c r="B106" s="83">
        <f t="shared" si="84"/>
        <v>0</v>
      </c>
      <c r="C106" s="83">
        <f t="shared" si="84"/>
        <v>0</v>
      </c>
      <c r="D106" s="83">
        <f t="shared" si="84"/>
        <v>0</v>
      </c>
      <c r="E106" s="83">
        <f t="shared" si="84"/>
        <v>0</v>
      </c>
      <c r="F106" s="83">
        <f t="shared" si="84"/>
        <v>0</v>
      </c>
      <c r="G106" s="83">
        <f t="shared" si="84"/>
        <v>0</v>
      </c>
      <c r="H106" s="83">
        <f t="shared" si="84"/>
        <v>0</v>
      </c>
    </row>
    <row r="107" spans="1:8">
      <c r="A107" s="75" t="s">
        <v>47</v>
      </c>
      <c r="B107" s="83">
        <f t="shared" si="84"/>
        <v>0</v>
      </c>
      <c r="C107" s="83">
        <f t="shared" si="84"/>
        <v>0</v>
      </c>
      <c r="D107" s="83">
        <f t="shared" si="84"/>
        <v>0</v>
      </c>
      <c r="E107" s="83">
        <f t="shared" si="84"/>
        <v>0</v>
      </c>
      <c r="F107" s="83">
        <f t="shared" si="84"/>
        <v>0</v>
      </c>
      <c r="G107" s="83">
        <f t="shared" si="84"/>
        <v>0</v>
      </c>
      <c r="H107" s="83">
        <f t="shared" si="84"/>
        <v>0</v>
      </c>
    </row>
    <row r="108" spans="1:8">
      <c r="A108" s="75" t="s">
        <v>12</v>
      </c>
      <c r="B108" s="83">
        <f t="shared" si="84"/>
        <v>0</v>
      </c>
      <c r="C108" s="83">
        <f t="shared" si="84"/>
        <v>0</v>
      </c>
      <c r="D108" s="83">
        <f t="shared" si="84"/>
        <v>0</v>
      </c>
      <c r="E108" s="83">
        <f t="shared" si="84"/>
        <v>0</v>
      </c>
      <c r="F108" s="83">
        <f t="shared" si="84"/>
        <v>0</v>
      </c>
      <c r="G108" s="83">
        <f t="shared" si="84"/>
        <v>0</v>
      </c>
      <c r="H108" s="83">
        <f t="shared" si="84"/>
        <v>0</v>
      </c>
    </row>
    <row r="109" spans="1:8">
      <c r="A109" s="75" t="s">
        <v>29</v>
      </c>
      <c r="B109" s="83">
        <f t="shared" si="84"/>
        <v>0</v>
      </c>
      <c r="C109" s="83">
        <f t="shared" si="84"/>
        <v>0</v>
      </c>
      <c r="D109" s="83">
        <f t="shared" si="84"/>
        <v>0</v>
      </c>
      <c r="E109" s="83">
        <f t="shared" si="84"/>
        <v>0</v>
      </c>
      <c r="F109" s="83">
        <f t="shared" si="84"/>
        <v>0</v>
      </c>
      <c r="G109" s="83">
        <f t="shared" si="84"/>
        <v>0</v>
      </c>
      <c r="H109" s="83">
        <f t="shared" si="84"/>
        <v>0</v>
      </c>
    </row>
    <row r="110" spans="1:8">
      <c r="A110" s="75" t="s">
        <v>48</v>
      </c>
      <c r="B110" s="83">
        <f t="shared" si="84"/>
        <v>0</v>
      </c>
      <c r="C110" s="83">
        <f t="shared" si="84"/>
        <v>0</v>
      </c>
      <c r="D110" s="83">
        <f t="shared" si="84"/>
        <v>0</v>
      </c>
      <c r="E110" s="83">
        <f t="shared" si="84"/>
        <v>0</v>
      </c>
      <c r="F110" s="83">
        <f t="shared" si="84"/>
        <v>0</v>
      </c>
      <c r="G110" s="83">
        <f t="shared" si="84"/>
        <v>0</v>
      </c>
      <c r="H110" s="83">
        <f t="shared" si="84"/>
        <v>0</v>
      </c>
    </row>
    <row r="111" spans="1:8">
      <c r="A111" s="75" t="s">
        <v>12</v>
      </c>
      <c r="B111" s="83">
        <f t="shared" si="84"/>
        <v>0</v>
      </c>
      <c r="C111" s="83">
        <f t="shared" si="84"/>
        <v>0</v>
      </c>
      <c r="D111" s="83">
        <f t="shared" si="84"/>
        <v>0</v>
      </c>
      <c r="E111" s="83">
        <f t="shared" si="84"/>
        <v>0</v>
      </c>
      <c r="F111" s="83">
        <f t="shared" si="84"/>
        <v>0</v>
      </c>
      <c r="G111" s="83">
        <f t="shared" si="84"/>
        <v>0</v>
      </c>
      <c r="H111" s="83">
        <f t="shared" si="84"/>
        <v>0</v>
      </c>
    </row>
    <row r="112" spans="1:8">
      <c r="A112" s="75" t="s">
        <v>31</v>
      </c>
      <c r="B112" s="83">
        <f t="shared" si="84"/>
        <v>0</v>
      </c>
      <c r="C112" s="83">
        <f t="shared" si="84"/>
        <v>0</v>
      </c>
      <c r="D112" s="83">
        <f t="shared" si="84"/>
        <v>0</v>
      </c>
      <c r="E112" s="83">
        <f t="shared" si="84"/>
        <v>0</v>
      </c>
      <c r="F112" s="83">
        <f t="shared" si="84"/>
        <v>0</v>
      </c>
      <c r="G112" s="83">
        <f t="shared" si="84"/>
        <v>0</v>
      </c>
      <c r="H112" s="83">
        <f t="shared" si="84"/>
        <v>0</v>
      </c>
    </row>
    <row r="113" spans="1:8">
      <c r="A113" s="75" t="s">
        <v>52</v>
      </c>
      <c r="B113" s="83">
        <f t="shared" si="84"/>
        <v>0</v>
      </c>
      <c r="C113" s="83">
        <f t="shared" si="84"/>
        <v>0</v>
      </c>
      <c r="D113" s="83">
        <f t="shared" si="84"/>
        <v>0</v>
      </c>
      <c r="E113" s="83">
        <f t="shared" si="84"/>
        <v>0</v>
      </c>
      <c r="F113" s="83">
        <f t="shared" si="84"/>
        <v>0</v>
      </c>
      <c r="G113" s="83">
        <f t="shared" si="84"/>
        <v>0</v>
      </c>
      <c r="H113" s="83">
        <f t="shared" si="84"/>
        <v>0</v>
      </c>
    </row>
    <row r="114" spans="1:8">
      <c r="A114" s="75" t="s">
        <v>12</v>
      </c>
      <c r="B114" s="83">
        <f t="shared" si="84"/>
        <v>0</v>
      </c>
      <c r="C114" s="83">
        <f t="shared" si="84"/>
        <v>0</v>
      </c>
      <c r="D114" s="83">
        <f t="shared" si="84"/>
        <v>0</v>
      </c>
      <c r="E114" s="83">
        <f t="shared" si="84"/>
        <v>0</v>
      </c>
      <c r="F114" s="83">
        <f t="shared" si="84"/>
        <v>0</v>
      </c>
      <c r="G114" s="83">
        <f t="shared" si="84"/>
        <v>0</v>
      </c>
      <c r="H114" s="83">
        <f t="shared" si="84"/>
        <v>0</v>
      </c>
    </row>
  </sheetData>
  <mergeCells count="16"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4:H4"/>
    <mergeCell ref="A8:H8"/>
    <mergeCell ref="J8:Q8"/>
    <mergeCell ref="R8:Y8"/>
    <mergeCell ref="AA8:AH8"/>
  </mergeCells>
  <phoneticPr fontId="17" type="noConversion"/>
  <pageMargins left="0.43" right="0.4" top="0.24" bottom="0.36" header="0.17" footer="0.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7"/>
  <dimension ref="A1:BC114"/>
  <sheetViews>
    <sheetView zoomScale="65" zoomScaleNormal="65" workbookViewId="0">
      <selection activeCell="A4" sqref="A4"/>
    </sheetView>
  </sheetViews>
  <sheetFormatPr defaultColWidth="9.109375" defaultRowHeight="13.2"/>
  <cols>
    <col min="1" max="1" width="14.5546875" style="201" customWidth="1"/>
    <col min="2" max="2" width="7.88671875" style="201" customWidth="1"/>
    <col min="3" max="4" width="9.109375" style="201"/>
    <col min="5" max="5" width="7.109375" style="201" customWidth="1"/>
    <col min="6" max="6" width="7.88671875" style="201" customWidth="1"/>
    <col min="7" max="7" width="7.5546875" style="201" customWidth="1"/>
    <col min="8" max="8" width="7.33203125" style="201" customWidth="1"/>
    <col min="9" max="9" width="5.6640625" style="201" customWidth="1"/>
    <col min="10" max="10" width="14.5546875" style="201" customWidth="1"/>
    <col min="11" max="11" width="7.5546875" style="201" customWidth="1"/>
    <col min="12" max="13" width="9.109375" style="201"/>
    <col min="14" max="14" width="7" style="201" customWidth="1"/>
    <col min="15" max="15" width="8.109375" style="201" customWidth="1"/>
    <col min="16" max="17" width="7.33203125" style="201" customWidth="1"/>
    <col min="18" max="18" width="14.6640625" style="201" customWidth="1"/>
    <col min="19" max="19" width="7.5546875" style="201" customWidth="1"/>
    <col min="20" max="20" width="7.6640625" style="201" customWidth="1"/>
    <col min="21" max="21" width="8.109375" style="201" customWidth="1"/>
    <col min="22" max="22" width="6.88671875" style="201" customWidth="1"/>
    <col min="23" max="23" width="7.109375" style="201" customWidth="1"/>
    <col min="24" max="24" width="8" style="201" customWidth="1"/>
    <col min="25" max="25" width="7.5546875" style="201" customWidth="1"/>
    <col min="26" max="26" width="8" style="201" customWidth="1"/>
    <col min="27" max="27" width="14.88671875" style="201" customWidth="1"/>
    <col min="28" max="33" width="8" style="201" customWidth="1"/>
    <col min="34" max="34" width="7.5546875" style="201" customWidth="1"/>
    <col min="35" max="35" width="6.33203125" style="201" customWidth="1"/>
    <col min="36" max="36" width="13.88671875" style="201" customWidth="1"/>
    <col min="37" max="16384" width="9.109375" style="201"/>
  </cols>
  <sheetData>
    <row r="1" spans="1:55" s="12" customFormat="1" ht="18.75" customHeight="1">
      <c r="A1" s="466" t="s">
        <v>55</v>
      </c>
      <c r="B1" s="466"/>
      <c r="C1" s="466"/>
      <c r="D1" s="466"/>
      <c r="E1" s="466"/>
      <c r="F1" s="466"/>
      <c r="G1" s="466"/>
      <c r="H1" s="466"/>
      <c r="I1"/>
      <c r="K1" s="37"/>
      <c r="L1" s="37"/>
      <c r="M1" s="37"/>
      <c r="N1" s="37"/>
      <c r="O1" s="37"/>
      <c r="P1" s="37"/>
      <c r="Q1" s="38" t="s">
        <v>33</v>
      </c>
    </row>
    <row r="2" spans="1:55" s="12" customFormat="1" ht="33" customHeight="1">
      <c r="A2" s="224"/>
      <c r="B2" s="224"/>
      <c r="C2" s="224"/>
      <c r="D2" s="224"/>
      <c r="E2" s="467" t="s">
        <v>100</v>
      </c>
      <c r="F2" s="467"/>
      <c r="G2" s="467"/>
      <c r="H2" s="467"/>
      <c r="I2"/>
    </row>
    <row r="3" spans="1:55" s="37" customFormat="1" ht="31.5" customHeight="1">
      <c r="A3" s="468" t="s">
        <v>121</v>
      </c>
      <c r="B3" s="468"/>
      <c r="C3" s="468"/>
      <c r="D3" s="468"/>
      <c r="E3" s="468"/>
      <c r="F3" s="468"/>
      <c r="G3" s="468"/>
      <c r="H3" s="468"/>
      <c r="I3"/>
      <c r="J3" s="40"/>
      <c r="K3" s="12"/>
      <c r="L3" s="12"/>
      <c r="M3" s="12"/>
      <c r="N3" s="12"/>
      <c r="O3" s="12"/>
      <c r="P3" s="12"/>
      <c r="Q3" s="12"/>
    </row>
    <row r="4" spans="1:55" s="37" customFormat="1" ht="11.25" customHeight="1">
      <c r="A4" s="40"/>
      <c r="B4" s="40"/>
      <c r="C4" s="40"/>
      <c r="D4" s="40"/>
      <c r="E4" s="40"/>
      <c r="F4" s="40"/>
      <c r="G4" s="40"/>
      <c r="H4" s="40"/>
      <c r="I4"/>
      <c r="J4" s="40"/>
      <c r="K4" s="12"/>
      <c r="L4" s="12"/>
      <c r="M4" s="12"/>
      <c r="N4" s="12"/>
      <c r="O4" s="12"/>
      <c r="P4" s="12"/>
      <c r="Q4" s="12"/>
    </row>
    <row r="5" spans="1:55" customFormat="1" ht="17.25" customHeight="1" thickBo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54" t="s">
        <v>38</v>
      </c>
      <c r="AB5" s="54"/>
      <c r="AC5" s="54"/>
      <c r="AD5" s="54"/>
      <c r="AE5" s="54"/>
      <c r="AF5" s="54"/>
      <c r="AG5" s="54"/>
      <c r="AJ5" s="2" t="s">
        <v>58</v>
      </c>
      <c r="AO5" s="2"/>
    </row>
    <row r="6" spans="1:55" customFormat="1">
      <c r="A6" s="146" t="s">
        <v>0</v>
      </c>
      <c r="B6" s="101" t="s">
        <v>1</v>
      </c>
      <c r="C6" s="101" t="s">
        <v>2</v>
      </c>
      <c r="D6" s="101" t="s">
        <v>3</v>
      </c>
      <c r="E6" s="101" t="s">
        <v>4</v>
      </c>
      <c r="F6" s="101" t="s">
        <v>5</v>
      </c>
      <c r="G6" s="101" t="s">
        <v>6</v>
      </c>
      <c r="H6" s="102" t="s">
        <v>7</v>
      </c>
      <c r="J6" s="100" t="s">
        <v>0</v>
      </c>
      <c r="K6" s="101" t="s">
        <v>1</v>
      </c>
      <c r="L6" s="101" t="s">
        <v>2</v>
      </c>
      <c r="M6" s="101" t="s">
        <v>3</v>
      </c>
      <c r="N6" s="101" t="s">
        <v>4</v>
      </c>
      <c r="O6" s="101" t="s">
        <v>5</v>
      </c>
      <c r="P6" s="101" t="s">
        <v>6</v>
      </c>
      <c r="Q6" s="102" t="s">
        <v>7</v>
      </c>
      <c r="R6" s="100" t="s">
        <v>0</v>
      </c>
      <c r="S6" s="101" t="s">
        <v>1</v>
      </c>
      <c r="T6" s="101" t="s">
        <v>2</v>
      </c>
      <c r="U6" s="101" t="s">
        <v>3</v>
      </c>
      <c r="V6" s="101" t="s">
        <v>4</v>
      </c>
      <c r="W6" s="101" t="s">
        <v>5</v>
      </c>
      <c r="X6" s="101" t="s">
        <v>6</v>
      </c>
      <c r="Y6" s="102" t="s">
        <v>7</v>
      </c>
      <c r="Z6" s="109"/>
      <c r="AA6" s="100" t="s">
        <v>0</v>
      </c>
      <c r="AB6" s="101" t="s">
        <v>1</v>
      </c>
      <c r="AC6" s="101" t="s">
        <v>2</v>
      </c>
      <c r="AD6" s="101" t="s">
        <v>3</v>
      </c>
      <c r="AE6" s="101" t="s">
        <v>4</v>
      </c>
      <c r="AF6" s="101" t="s">
        <v>5</v>
      </c>
      <c r="AG6" s="101" t="s">
        <v>6</v>
      </c>
      <c r="AH6" s="102" t="s">
        <v>7</v>
      </c>
      <c r="AI6" s="109"/>
      <c r="AJ6" s="100" t="s">
        <v>0</v>
      </c>
      <c r="AK6" s="147" t="s">
        <v>1</v>
      </c>
      <c r="AL6" s="101" t="s">
        <v>2</v>
      </c>
      <c r="AM6" s="101" t="s">
        <v>3</v>
      </c>
      <c r="AN6" s="101" t="s">
        <v>4</v>
      </c>
      <c r="AO6" s="101" t="s">
        <v>5</v>
      </c>
      <c r="AP6" s="101" t="s">
        <v>6</v>
      </c>
      <c r="AQ6" s="102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customFormat="1">
      <c r="A7" s="148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104" t="s">
        <v>9</v>
      </c>
      <c r="J7" s="103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104" t="s">
        <v>9</v>
      </c>
      <c r="R7" s="103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104" t="s">
        <v>9</v>
      </c>
      <c r="Z7" s="109"/>
      <c r="AA7" s="103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104" t="s">
        <v>9</v>
      </c>
      <c r="AI7" s="109"/>
      <c r="AJ7" s="103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104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15" customFormat="1">
      <c r="A8" s="515" t="s">
        <v>17</v>
      </c>
      <c r="B8" s="470"/>
      <c r="C8" s="470"/>
      <c r="D8" s="470"/>
      <c r="E8" s="470"/>
      <c r="F8" s="470"/>
      <c r="G8" s="470"/>
      <c r="H8" s="516"/>
      <c r="I8"/>
      <c r="J8" s="515" t="s">
        <v>17</v>
      </c>
      <c r="K8" s="470"/>
      <c r="L8" s="470"/>
      <c r="M8" s="470"/>
      <c r="N8" s="470"/>
      <c r="O8" s="470"/>
      <c r="P8" s="470"/>
      <c r="Q8" s="516"/>
      <c r="R8" s="515" t="s">
        <v>17</v>
      </c>
      <c r="S8" s="470"/>
      <c r="T8" s="470"/>
      <c r="U8" s="470"/>
      <c r="V8" s="470"/>
      <c r="W8" s="470"/>
      <c r="X8" s="470"/>
      <c r="Y8" s="516"/>
      <c r="Z8" s="186"/>
      <c r="AA8" s="515" t="s">
        <v>17</v>
      </c>
      <c r="AB8" s="470"/>
      <c r="AC8" s="470"/>
      <c r="AD8" s="470"/>
      <c r="AE8" s="470"/>
      <c r="AF8" s="470"/>
      <c r="AG8" s="470"/>
      <c r="AH8" s="516"/>
      <c r="AI8" s="186"/>
      <c r="AJ8" s="515" t="s">
        <v>17</v>
      </c>
      <c r="AK8" s="470"/>
      <c r="AL8" s="470"/>
      <c r="AM8" s="470"/>
      <c r="AN8" s="470"/>
      <c r="AO8" s="470"/>
      <c r="AP8" s="470"/>
      <c r="AQ8" s="516"/>
    </row>
    <row r="9" spans="1:55" s="115" customFormat="1">
      <c r="A9" s="220" t="s">
        <v>18</v>
      </c>
      <c r="B9" s="42">
        <f>B13+B20</f>
        <v>970.69999999999982</v>
      </c>
      <c r="C9" s="33">
        <f t="shared" ref="C9:H10" si="0">C13+C20</f>
        <v>50860</v>
      </c>
      <c r="D9" s="33">
        <f t="shared" si="0"/>
        <v>44082</v>
      </c>
      <c r="E9" s="33">
        <f t="shared" si="0"/>
        <v>4072</v>
      </c>
      <c r="F9" s="33">
        <f t="shared" si="0"/>
        <v>10751</v>
      </c>
      <c r="G9" s="33">
        <f t="shared" si="0"/>
        <v>1892</v>
      </c>
      <c r="H9" s="221">
        <f t="shared" si="0"/>
        <v>27367</v>
      </c>
      <c r="I9"/>
      <c r="J9" s="220" t="s">
        <v>18</v>
      </c>
      <c r="K9" s="33">
        <f>K13+K20</f>
        <v>260.39999999999998</v>
      </c>
      <c r="L9" s="33">
        <f t="shared" ref="L9:Q10" si="1">L13+L20</f>
        <v>8953</v>
      </c>
      <c r="M9" s="33">
        <f t="shared" si="1"/>
        <v>7479</v>
      </c>
      <c r="N9" s="33">
        <f t="shared" si="1"/>
        <v>468</v>
      </c>
      <c r="O9" s="33">
        <f t="shared" si="1"/>
        <v>2406</v>
      </c>
      <c r="P9" s="33">
        <f t="shared" si="1"/>
        <v>408</v>
      </c>
      <c r="Q9" s="221">
        <f t="shared" si="1"/>
        <v>4197</v>
      </c>
      <c r="R9" s="220" t="s">
        <v>18</v>
      </c>
      <c r="S9" s="42">
        <f>S13+S20</f>
        <v>674.8</v>
      </c>
      <c r="T9" s="33">
        <f t="shared" ref="T9:Y10" si="2">T13+T20</f>
        <v>41012</v>
      </c>
      <c r="U9" s="33">
        <f t="shared" si="2"/>
        <v>35849</v>
      </c>
      <c r="V9" s="33">
        <f t="shared" si="2"/>
        <v>3590</v>
      </c>
      <c r="W9" s="33">
        <f t="shared" si="2"/>
        <v>8225</v>
      </c>
      <c r="X9" s="33">
        <f t="shared" si="2"/>
        <v>1464</v>
      </c>
      <c r="Y9" s="221">
        <f t="shared" si="2"/>
        <v>22570</v>
      </c>
      <c r="Z9" s="110"/>
      <c r="AA9" s="220" t="s">
        <v>18</v>
      </c>
      <c r="AB9" s="33">
        <f>AB13+AB20</f>
        <v>128.20000000000002</v>
      </c>
      <c r="AC9" s="33">
        <f t="shared" ref="AC9:AH10" si="3">AC13+AC20</f>
        <v>11264</v>
      </c>
      <c r="AD9" s="33">
        <f t="shared" si="3"/>
        <v>9763</v>
      </c>
      <c r="AE9" s="33">
        <f t="shared" si="3"/>
        <v>2604</v>
      </c>
      <c r="AF9" s="33">
        <f t="shared" si="3"/>
        <v>2440</v>
      </c>
      <c r="AG9" s="33">
        <f t="shared" si="3"/>
        <v>326</v>
      </c>
      <c r="AH9" s="221">
        <f t="shared" si="3"/>
        <v>4393</v>
      </c>
      <c r="AI9" s="110"/>
      <c r="AJ9" s="220" t="s">
        <v>18</v>
      </c>
      <c r="AK9" s="33">
        <f>AK13+AK20</f>
        <v>35.5</v>
      </c>
      <c r="AL9" s="33">
        <f t="shared" ref="AL9:AQ10" si="4">AL13+AL20</f>
        <v>895</v>
      </c>
      <c r="AM9" s="33">
        <f t="shared" si="4"/>
        <v>754</v>
      </c>
      <c r="AN9" s="33">
        <f t="shared" si="4"/>
        <v>14</v>
      </c>
      <c r="AO9" s="33">
        <f t="shared" si="4"/>
        <v>120</v>
      </c>
      <c r="AP9" s="33">
        <f t="shared" si="4"/>
        <v>20</v>
      </c>
      <c r="AQ9" s="221">
        <f t="shared" si="4"/>
        <v>600</v>
      </c>
    </row>
    <row r="10" spans="1:55" s="115" customFormat="1">
      <c r="A10" s="105" t="s">
        <v>19</v>
      </c>
      <c r="B10" s="42">
        <f>B14+B21</f>
        <v>867.90000000000009</v>
      </c>
      <c r="C10" s="33">
        <f t="shared" si="0"/>
        <v>48355</v>
      </c>
      <c r="D10" s="33">
        <f t="shared" si="0"/>
        <v>42028</v>
      </c>
      <c r="E10" s="33">
        <f t="shared" si="0"/>
        <v>2255</v>
      </c>
      <c r="F10" s="33">
        <f t="shared" si="0"/>
        <v>9702</v>
      </c>
      <c r="G10" s="33">
        <f t="shared" si="0"/>
        <v>2846</v>
      </c>
      <c r="H10" s="221">
        <f t="shared" si="0"/>
        <v>27225</v>
      </c>
      <c r="I10"/>
      <c r="J10" s="105" t="s">
        <v>19</v>
      </c>
      <c r="K10" s="42">
        <f>K14+K21</f>
        <v>278.7</v>
      </c>
      <c r="L10" s="33">
        <f t="shared" si="1"/>
        <v>15070</v>
      </c>
      <c r="M10" s="33">
        <f t="shared" si="1"/>
        <v>12385</v>
      </c>
      <c r="N10" s="33">
        <f t="shared" si="1"/>
        <v>689</v>
      </c>
      <c r="O10" s="33">
        <f t="shared" si="1"/>
        <v>4054</v>
      </c>
      <c r="P10" s="33">
        <f t="shared" si="1"/>
        <v>981</v>
      </c>
      <c r="Q10" s="221">
        <f t="shared" si="1"/>
        <v>6661</v>
      </c>
      <c r="R10" s="105" t="s">
        <v>19</v>
      </c>
      <c r="S10" s="42">
        <f>S14+S21</f>
        <v>580.9</v>
      </c>
      <c r="T10" s="33">
        <f>T14+T21</f>
        <v>32655</v>
      </c>
      <c r="U10" s="33">
        <f t="shared" si="2"/>
        <v>29086</v>
      </c>
      <c r="V10" s="33">
        <f t="shared" si="2"/>
        <v>1503</v>
      </c>
      <c r="W10" s="33">
        <f t="shared" si="2"/>
        <v>5459</v>
      </c>
      <c r="X10" s="33">
        <f t="shared" si="2"/>
        <v>1845</v>
      </c>
      <c r="Y10" s="221">
        <f t="shared" si="2"/>
        <v>20279</v>
      </c>
      <c r="Z10" s="110"/>
      <c r="AA10" s="105" t="s">
        <v>19</v>
      </c>
      <c r="AB10" s="42">
        <f>AB14+AB21</f>
        <v>64.5</v>
      </c>
      <c r="AC10" s="33">
        <f t="shared" si="3"/>
        <v>5120</v>
      </c>
      <c r="AD10" s="33">
        <f t="shared" si="3"/>
        <v>4477</v>
      </c>
      <c r="AE10" s="33">
        <f t="shared" si="3"/>
        <v>614</v>
      </c>
      <c r="AF10" s="33">
        <f t="shared" si="3"/>
        <v>992</v>
      </c>
      <c r="AG10" s="33">
        <f t="shared" si="3"/>
        <v>247</v>
      </c>
      <c r="AH10" s="221">
        <f t="shared" si="3"/>
        <v>2624</v>
      </c>
      <c r="AI10" s="110"/>
      <c r="AJ10" s="105" t="s">
        <v>19</v>
      </c>
      <c r="AK10" s="33">
        <f>AK14+AK21</f>
        <v>8.3000000000000007</v>
      </c>
      <c r="AL10" s="33">
        <f t="shared" si="4"/>
        <v>630</v>
      </c>
      <c r="AM10" s="33">
        <f t="shared" si="4"/>
        <v>557</v>
      </c>
      <c r="AN10" s="33">
        <f t="shared" si="4"/>
        <v>63</v>
      </c>
      <c r="AO10" s="33">
        <f t="shared" si="4"/>
        <v>189</v>
      </c>
      <c r="AP10" s="33">
        <f t="shared" si="4"/>
        <v>20</v>
      </c>
      <c r="AQ10" s="221">
        <f t="shared" si="4"/>
        <v>285</v>
      </c>
    </row>
    <row r="11" spans="1:55" s="115" customFormat="1">
      <c r="A11" s="220" t="s">
        <v>20</v>
      </c>
      <c r="B11" s="26">
        <f t="shared" ref="B11:H11" si="5">B10/B9*100</f>
        <v>89.409704337076363</v>
      </c>
      <c r="C11" s="26">
        <f t="shared" si="5"/>
        <v>95.074714903657096</v>
      </c>
      <c r="D11" s="26">
        <f t="shared" si="5"/>
        <v>95.340501792114694</v>
      </c>
      <c r="E11" s="26">
        <f t="shared" si="5"/>
        <v>55.378192534381142</v>
      </c>
      <c r="F11" s="26">
        <f t="shared" si="5"/>
        <v>90.242768114594</v>
      </c>
      <c r="G11" s="26">
        <f t="shared" si="5"/>
        <v>150.42283298097252</v>
      </c>
      <c r="H11" s="96">
        <f t="shared" si="5"/>
        <v>99.481126904666212</v>
      </c>
      <c r="I11"/>
      <c r="J11" s="220" t="s">
        <v>20</v>
      </c>
      <c r="K11" s="26">
        <f t="shared" ref="K11:Q11" si="6">K10/K9*100</f>
        <v>107.02764976958525</v>
      </c>
      <c r="L11" s="26">
        <f t="shared" si="6"/>
        <v>168.32346699430357</v>
      </c>
      <c r="M11" s="26">
        <f t="shared" si="6"/>
        <v>165.59700494718547</v>
      </c>
      <c r="N11" s="26">
        <f t="shared" si="6"/>
        <v>147.22222222222223</v>
      </c>
      <c r="O11" s="26">
        <f t="shared" si="6"/>
        <v>168.4954280964256</v>
      </c>
      <c r="P11" s="26">
        <f t="shared" si="6"/>
        <v>240.44117647058823</v>
      </c>
      <c r="Q11" s="96">
        <f t="shared" si="6"/>
        <v>158.70860138193947</v>
      </c>
      <c r="R11" s="220" t="s">
        <v>20</v>
      </c>
      <c r="S11" s="26">
        <f t="shared" ref="S11:Y11" si="7">S10/S9*100</f>
        <v>86.084765856550092</v>
      </c>
      <c r="T11" s="26">
        <f t="shared" si="7"/>
        <v>79.623037159855642</v>
      </c>
      <c r="U11" s="26">
        <f t="shared" si="7"/>
        <v>81.134759686462672</v>
      </c>
      <c r="V11" s="26">
        <f t="shared" si="7"/>
        <v>41.866295264623957</v>
      </c>
      <c r="W11" s="26">
        <f t="shared" si="7"/>
        <v>66.370820668693014</v>
      </c>
      <c r="X11" s="26">
        <f t="shared" si="7"/>
        <v>126.02459016393443</v>
      </c>
      <c r="Y11" s="96">
        <f t="shared" si="7"/>
        <v>89.849357554275585</v>
      </c>
      <c r="Z11" s="113"/>
      <c r="AA11" s="220" t="s">
        <v>20</v>
      </c>
      <c r="AB11" s="26">
        <f t="shared" ref="AB11:AH11" si="8">AB10/AB9*100</f>
        <v>50.312012480499213</v>
      </c>
      <c r="AC11" s="26">
        <f t="shared" si="8"/>
        <v>45.454545454545453</v>
      </c>
      <c r="AD11" s="26">
        <f t="shared" si="8"/>
        <v>45.856806309536005</v>
      </c>
      <c r="AE11" s="26">
        <f t="shared" si="8"/>
        <v>23.579109062980031</v>
      </c>
      <c r="AF11" s="26">
        <f t="shared" si="8"/>
        <v>40.655737704918032</v>
      </c>
      <c r="AG11" s="26">
        <f t="shared" si="8"/>
        <v>75.766871165644162</v>
      </c>
      <c r="AH11" s="96">
        <f t="shared" si="8"/>
        <v>59.731390849078082</v>
      </c>
      <c r="AI11" s="113"/>
      <c r="AJ11" s="220" t="s">
        <v>20</v>
      </c>
      <c r="AK11" s="26">
        <f>AK10/AK9*100</f>
        <v>23.380281690140848</v>
      </c>
      <c r="AL11" s="26">
        <f>AL10/AL9*100</f>
        <v>70.391061452513966</v>
      </c>
      <c r="AM11" s="26">
        <f>AM10/AM9*100</f>
        <v>73.872679045092838</v>
      </c>
      <c r="AN11" s="26">
        <v>0</v>
      </c>
      <c r="AO11" s="26">
        <f>AO10/AO9*100</f>
        <v>157.5</v>
      </c>
      <c r="AP11" s="26">
        <f>AP10/AP9*100</f>
        <v>100</v>
      </c>
      <c r="AQ11" s="96">
        <f>AQ10/AQ9*100</f>
        <v>47.5</v>
      </c>
    </row>
    <row r="12" spans="1:55" ht="12.75" customHeight="1">
      <c r="A12" s="517" t="s">
        <v>11</v>
      </c>
      <c r="B12" s="464"/>
      <c r="C12" s="464"/>
      <c r="D12" s="464"/>
      <c r="E12" s="464"/>
      <c r="F12" s="464"/>
      <c r="G12" s="464"/>
      <c r="H12" s="518"/>
      <c r="I12"/>
      <c r="J12" s="517" t="s">
        <v>11</v>
      </c>
      <c r="K12" s="462"/>
      <c r="L12" s="462"/>
      <c r="M12" s="462"/>
      <c r="N12" s="462"/>
      <c r="O12" s="462"/>
      <c r="P12" s="462"/>
      <c r="Q12" s="519"/>
      <c r="R12" s="517" t="s">
        <v>11</v>
      </c>
      <c r="S12" s="462"/>
      <c r="T12" s="462"/>
      <c r="U12" s="462"/>
      <c r="V12" s="462"/>
      <c r="W12" s="462"/>
      <c r="X12" s="462"/>
      <c r="Y12" s="519"/>
      <c r="Z12" s="296"/>
      <c r="AA12" s="517" t="s">
        <v>11</v>
      </c>
      <c r="AB12" s="462"/>
      <c r="AC12" s="462"/>
      <c r="AD12" s="462"/>
      <c r="AE12" s="462"/>
      <c r="AF12" s="462"/>
      <c r="AG12" s="462"/>
      <c r="AH12" s="519"/>
      <c r="AI12" s="296"/>
      <c r="AJ12" s="517" t="s">
        <v>11</v>
      </c>
      <c r="AK12" s="462"/>
      <c r="AL12" s="462"/>
      <c r="AM12" s="462"/>
      <c r="AN12" s="462"/>
      <c r="AO12" s="462"/>
      <c r="AP12" s="462"/>
      <c r="AQ12" s="519"/>
    </row>
    <row r="13" spans="1:55">
      <c r="A13" s="245" t="s">
        <v>18</v>
      </c>
      <c r="B13" s="6">
        <f>K13+S13+AK13</f>
        <v>1.5</v>
      </c>
      <c r="C13" s="6">
        <f>L13+T13+AL13</f>
        <v>75</v>
      </c>
      <c r="D13" s="6">
        <f>E13+F13+G13+H13</f>
        <v>59</v>
      </c>
      <c r="E13" s="6">
        <f t="shared" ref="E13:H14" si="9">N13+V13+AN13</f>
        <v>2</v>
      </c>
      <c r="F13" s="6">
        <f t="shared" si="9"/>
        <v>14</v>
      </c>
      <c r="G13" s="6">
        <f t="shared" si="9"/>
        <v>4</v>
      </c>
      <c r="H13" s="95">
        <f t="shared" si="9"/>
        <v>39</v>
      </c>
      <c r="I13"/>
      <c r="J13" s="245" t="s">
        <v>18</v>
      </c>
      <c r="K13" s="27">
        <v>1.4</v>
      </c>
      <c r="L13" s="6">
        <v>70</v>
      </c>
      <c r="M13" s="6">
        <f>N13+O13+P13+Q13</f>
        <v>57</v>
      </c>
      <c r="N13" s="6">
        <v>2</v>
      </c>
      <c r="O13" s="6">
        <v>14</v>
      </c>
      <c r="P13" s="6">
        <v>4</v>
      </c>
      <c r="Q13" s="95">
        <v>37</v>
      </c>
      <c r="R13" s="245" t="s">
        <v>18</v>
      </c>
      <c r="S13" s="6"/>
      <c r="T13" s="6"/>
      <c r="U13" s="6">
        <f>V13+W13+X13+Y13</f>
        <v>0</v>
      </c>
      <c r="V13" s="6"/>
      <c r="W13" s="6"/>
      <c r="X13" s="6"/>
      <c r="Y13" s="76"/>
      <c r="Z13" s="1"/>
      <c r="AA13" s="245" t="s">
        <v>18</v>
      </c>
      <c r="AB13" s="6"/>
      <c r="AC13" s="6"/>
      <c r="AD13" s="6">
        <f>AE13+AF13+AG13+AH13</f>
        <v>0</v>
      </c>
      <c r="AE13" s="6"/>
      <c r="AF13" s="6"/>
      <c r="AG13" s="6"/>
      <c r="AH13" s="76"/>
      <c r="AI13" s="1"/>
      <c r="AJ13" s="245" t="s">
        <v>18</v>
      </c>
      <c r="AK13" s="6">
        <v>0.1</v>
      </c>
      <c r="AL13" s="6">
        <v>5</v>
      </c>
      <c r="AM13" s="6">
        <f>AN13+AO13+AP13+AQ13</f>
        <v>2</v>
      </c>
      <c r="AN13" s="6"/>
      <c r="AO13" s="6">
        <v>0</v>
      </c>
      <c r="AP13" s="6">
        <v>0</v>
      </c>
      <c r="AQ13" s="95">
        <v>2</v>
      </c>
    </row>
    <row r="14" spans="1:55">
      <c r="A14" s="106" t="s">
        <v>19</v>
      </c>
      <c r="B14" s="6">
        <f>K14+S14+AK14</f>
        <v>0</v>
      </c>
      <c r="C14" s="6">
        <f>L14+T14+AL14</f>
        <v>0</v>
      </c>
      <c r="D14" s="6">
        <f>E14+F14+G14+H14</f>
        <v>0</v>
      </c>
      <c r="E14" s="6">
        <f t="shared" si="9"/>
        <v>0</v>
      </c>
      <c r="F14" s="6">
        <f t="shared" si="9"/>
        <v>0</v>
      </c>
      <c r="G14" s="6">
        <f t="shared" si="9"/>
        <v>0</v>
      </c>
      <c r="H14" s="95">
        <f t="shared" si="9"/>
        <v>0</v>
      </c>
      <c r="I14"/>
      <c r="J14" s="106" t="s">
        <v>19</v>
      </c>
      <c r="K14" s="27">
        <v>0</v>
      </c>
      <c r="L14" s="6">
        <v>0</v>
      </c>
      <c r="M14" s="6">
        <f>N14+O14+P14+Q14</f>
        <v>0</v>
      </c>
      <c r="N14" s="6">
        <v>0</v>
      </c>
      <c r="O14" s="93">
        <v>0</v>
      </c>
      <c r="P14" s="93">
        <v>0</v>
      </c>
      <c r="Q14" s="95">
        <v>0</v>
      </c>
      <c r="R14" s="106" t="s">
        <v>19</v>
      </c>
      <c r="S14" s="6"/>
      <c r="T14" s="6"/>
      <c r="U14" s="6">
        <f>V14+W14+X14+Y14</f>
        <v>0</v>
      </c>
      <c r="V14" s="6"/>
      <c r="W14" s="6"/>
      <c r="X14" s="6"/>
      <c r="Y14" s="76"/>
      <c r="Z14" s="1"/>
      <c r="AA14" s="106" t="s">
        <v>19</v>
      </c>
      <c r="AB14" s="6"/>
      <c r="AC14" s="6"/>
      <c r="AD14" s="6">
        <f>AE14+AF14+AG14+AH14</f>
        <v>0</v>
      </c>
      <c r="AE14" s="6"/>
      <c r="AF14" s="6"/>
      <c r="AG14" s="6"/>
      <c r="AH14" s="76"/>
      <c r="AI14" s="1"/>
      <c r="AJ14" s="106" t="s">
        <v>19</v>
      </c>
      <c r="AK14" s="6">
        <v>0</v>
      </c>
      <c r="AL14" s="6">
        <v>0</v>
      </c>
      <c r="AM14" s="6">
        <f>AN14+AO14+AP14+AQ14</f>
        <v>0</v>
      </c>
      <c r="AN14" s="6"/>
      <c r="AO14" s="6"/>
      <c r="AP14" s="6"/>
      <c r="AQ14" s="95">
        <v>0</v>
      </c>
    </row>
    <row r="15" spans="1:55">
      <c r="A15" s="245" t="s">
        <v>20</v>
      </c>
      <c r="B15" s="26">
        <f t="shared" ref="B15:H15" si="10">B14/B13*100</f>
        <v>0</v>
      </c>
      <c r="C15" s="26">
        <f t="shared" si="10"/>
        <v>0</v>
      </c>
      <c r="D15" s="26">
        <f>D14/D13*100</f>
        <v>0</v>
      </c>
      <c r="E15" s="26">
        <f t="shared" si="10"/>
        <v>0</v>
      </c>
      <c r="F15" s="26">
        <f t="shared" si="10"/>
        <v>0</v>
      </c>
      <c r="G15" s="26">
        <f t="shared" si="10"/>
        <v>0</v>
      </c>
      <c r="H15" s="96">
        <f t="shared" si="10"/>
        <v>0</v>
      </c>
      <c r="I15"/>
      <c r="J15" s="245" t="s">
        <v>20</v>
      </c>
      <c r="K15" s="26">
        <f t="shared" ref="K15:Q15" si="11">K14/K13*100</f>
        <v>0</v>
      </c>
      <c r="L15" s="26">
        <f t="shared" si="11"/>
        <v>0</v>
      </c>
      <c r="M15" s="26">
        <f t="shared" si="11"/>
        <v>0</v>
      </c>
      <c r="N15" s="26">
        <f t="shared" si="11"/>
        <v>0</v>
      </c>
      <c r="O15" s="175">
        <f t="shared" si="11"/>
        <v>0</v>
      </c>
      <c r="P15" s="175">
        <f t="shared" si="11"/>
        <v>0</v>
      </c>
      <c r="Q15" s="96">
        <f t="shared" si="11"/>
        <v>0</v>
      </c>
      <c r="R15" s="245" t="s">
        <v>20</v>
      </c>
      <c r="S15" s="26" t="e">
        <f t="shared" ref="S15:Y15" si="12">S14/S13*100</f>
        <v>#DIV/0!</v>
      </c>
      <c r="T15" s="26" t="e">
        <f t="shared" si="12"/>
        <v>#DIV/0!</v>
      </c>
      <c r="U15" s="26" t="e">
        <f t="shared" si="12"/>
        <v>#DIV/0!</v>
      </c>
      <c r="V15" s="26" t="e">
        <f t="shared" si="12"/>
        <v>#DIV/0!</v>
      </c>
      <c r="W15" s="26" t="e">
        <f t="shared" si="12"/>
        <v>#DIV/0!</v>
      </c>
      <c r="X15" s="26" t="e">
        <f t="shared" si="12"/>
        <v>#DIV/0!</v>
      </c>
      <c r="Y15" s="77" t="e">
        <f t="shared" si="12"/>
        <v>#DIV/0!</v>
      </c>
      <c r="Z15" s="113"/>
      <c r="AA15" s="245" t="s">
        <v>20</v>
      </c>
      <c r="AB15" s="26" t="e">
        <f t="shared" ref="AB15:AH15" si="13">AB14/AB13*100</f>
        <v>#DIV/0!</v>
      </c>
      <c r="AC15" s="26" t="e">
        <f t="shared" si="13"/>
        <v>#DIV/0!</v>
      </c>
      <c r="AD15" s="26" t="e">
        <f t="shared" si="13"/>
        <v>#DIV/0!</v>
      </c>
      <c r="AE15" s="26" t="e">
        <f t="shared" si="13"/>
        <v>#DIV/0!</v>
      </c>
      <c r="AF15" s="26" t="e">
        <f t="shared" si="13"/>
        <v>#DIV/0!</v>
      </c>
      <c r="AG15" s="26" t="e">
        <f t="shared" si="13"/>
        <v>#DIV/0!</v>
      </c>
      <c r="AH15" s="77" t="e">
        <f t="shared" si="13"/>
        <v>#DIV/0!</v>
      </c>
      <c r="AI15" s="113"/>
      <c r="AJ15" s="245" t="s">
        <v>20</v>
      </c>
      <c r="AK15" s="26">
        <f>AK14/AK13*100</f>
        <v>0</v>
      </c>
      <c r="AL15" s="26">
        <f>AL14/AL13*100</f>
        <v>0</v>
      </c>
      <c r="AM15" s="26">
        <f>AM14/AM13*100</f>
        <v>0</v>
      </c>
      <c r="AN15" s="26">
        <v>0</v>
      </c>
      <c r="AO15" s="26" t="e">
        <f>AO14/AO13*100</f>
        <v>#DIV/0!</v>
      </c>
      <c r="AP15" s="26" t="e">
        <f>AP14/AP13*100</f>
        <v>#DIV/0!</v>
      </c>
      <c r="AQ15" s="96">
        <f>AQ14/AQ13*100</f>
        <v>0</v>
      </c>
    </row>
    <row r="16" spans="1:55">
      <c r="A16" s="107" t="s">
        <v>13</v>
      </c>
      <c r="B16" s="6">
        <f t="shared" ref="B16:C18" si="14">K16+S16+AK16</f>
        <v>0</v>
      </c>
      <c r="C16" s="6">
        <f t="shared" si="14"/>
        <v>0</v>
      </c>
      <c r="D16" s="6">
        <f>E16+F16+G16+H16</f>
        <v>0</v>
      </c>
      <c r="E16" s="6">
        <f t="shared" ref="E16:H18" si="15">N16+V16+AN16</f>
        <v>0</v>
      </c>
      <c r="F16" s="6">
        <f t="shared" si="15"/>
        <v>0</v>
      </c>
      <c r="G16" s="6">
        <f t="shared" si="15"/>
        <v>0</v>
      </c>
      <c r="H16" s="95">
        <f t="shared" si="15"/>
        <v>0</v>
      </c>
      <c r="I16"/>
      <c r="J16" s="107" t="s">
        <v>13</v>
      </c>
      <c r="K16" s="6">
        <v>0</v>
      </c>
      <c r="L16" s="6">
        <v>0</v>
      </c>
      <c r="M16" s="6">
        <f>N16+O16+P16+Q16</f>
        <v>0</v>
      </c>
      <c r="N16" s="6">
        <v>0</v>
      </c>
      <c r="O16" s="6">
        <v>0</v>
      </c>
      <c r="P16" s="6">
        <v>0</v>
      </c>
      <c r="Q16" s="95">
        <v>0</v>
      </c>
      <c r="R16" s="107" t="s">
        <v>13</v>
      </c>
      <c r="S16" s="6"/>
      <c r="T16" s="6"/>
      <c r="U16" s="6">
        <f>V16+W16+X16+Y16</f>
        <v>0</v>
      </c>
      <c r="V16" s="6"/>
      <c r="W16" s="6"/>
      <c r="X16" s="6"/>
      <c r="Y16" s="76"/>
      <c r="Z16" s="1"/>
      <c r="AA16" s="107" t="s">
        <v>13</v>
      </c>
      <c r="AB16" s="6"/>
      <c r="AC16" s="6"/>
      <c r="AD16" s="6">
        <f>AE16+AF16+AG16+AH16</f>
        <v>0</v>
      </c>
      <c r="AE16" s="6"/>
      <c r="AF16" s="6"/>
      <c r="AG16" s="6"/>
      <c r="AH16" s="76"/>
      <c r="AI16" s="1"/>
      <c r="AJ16" s="107" t="s">
        <v>13</v>
      </c>
      <c r="AK16" s="27">
        <v>0</v>
      </c>
      <c r="AL16" s="6"/>
      <c r="AM16" s="6">
        <f>AN16+AO16+AP16+AQ16</f>
        <v>0</v>
      </c>
      <c r="AN16" s="6"/>
      <c r="AO16" s="6"/>
      <c r="AP16" s="6"/>
      <c r="AQ16" s="95"/>
    </row>
    <row r="17" spans="1:43">
      <c r="A17" s="107" t="s">
        <v>14</v>
      </c>
      <c r="B17" s="6">
        <f t="shared" si="14"/>
        <v>0</v>
      </c>
      <c r="C17" s="6">
        <f t="shared" si="14"/>
        <v>0</v>
      </c>
      <c r="D17" s="6">
        <f>E17+F17+G17+H17</f>
        <v>0</v>
      </c>
      <c r="E17" s="6">
        <f t="shared" si="15"/>
        <v>0</v>
      </c>
      <c r="F17" s="6">
        <f t="shared" si="15"/>
        <v>0</v>
      </c>
      <c r="G17" s="6">
        <f t="shared" si="15"/>
        <v>0</v>
      </c>
      <c r="H17" s="95">
        <f t="shared" si="15"/>
        <v>0</v>
      </c>
      <c r="I17"/>
      <c r="J17" s="107" t="s">
        <v>14</v>
      </c>
      <c r="K17" s="6"/>
      <c r="L17" s="6"/>
      <c r="M17" s="6">
        <f>N17+O17+P17+Q17</f>
        <v>0</v>
      </c>
      <c r="N17" s="6"/>
      <c r="O17" s="6"/>
      <c r="P17" s="6"/>
      <c r="Q17" s="76"/>
      <c r="R17" s="107" t="s">
        <v>14</v>
      </c>
      <c r="S17" s="6"/>
      <c r="T17" s="6"/>
      <c r="U17" s="6">
        <f>V17+W17+X17+Y17</f>
        <v>0</v>
      </c>
      <c r="V17" s="6"/>
      <c r="W17" s="6"/>
      <c r="X17" s="6"/>
      <c r="Y17" s="76"/>
      <c r="Z17" s="1"/>
      <c r="AA17" s="107" t="s">
        <v>14</v>
      </c>
      <c r="AB17" s="6"/>
      <c r="AC17" s="6"/>
      <c r="AD17" s="6">
        <f>AE17+AF17+AG17+AH17</f>
        <v>0</v>
      </c>
      <c r="AE17" s="6"/>
      <c r="AF17" s="6"/>
      <c r="AG17" s="6"/>
      <c r="AH17" s="76"/>
      <c r="AI17" s="1"/>
      <c r="AJ17" s="107" t="s">
        <v>14</v>
      </c>
      <c r="AK17" s="6"/>
      <c r="AL17" s="6"/>
      <c r="AM17" s="6">
        <f>AN17+AO17+AP17+AQ17</f>
        <v>0</v>
      </c>
      <c r="AN17" s="6"/>
      <c r="AO17" s="6"/>
      <c r="AP17" s="6"/>
      <c r="AQ17" s="95"/>
    </row>
    <row r="18" spans="1:43" customFormat="1">
      <c r="A18" s="107" t="s">
        <v>15</v>
      </c>
      <c r="B18" s="6">
        <f t="shared" si="14"/>
        <v>0</v>
      </c>
      <c r="C18" s="6">
        <f t="shared" si="14"/>
        <v>0</v>
      </c>
      <c r="D18" s="6">
        <f>E18+F18+G18+H18</f>
        <v>0</v>
      </c>
      <c r="E18" s="6">
        <f t="shared" si="15"/>
        <v>0</v>
      </c>
      <c r="F18" s="6">
        <f t="shared" si="15"/>
        <v>0</v>
      </c>
      <c r="G18" s="6">
        <f t="shared" si="15"/>
        <v>0</v>
      </c>
      <c r="H18" s="95">
        <f t="shared" si="15"/>
        <v>0</v>
      </c>
      <c r="J18" s="107" t="s">
        <v>15</v>
      </c>
      <c r="K18" s="6"/>
      <c r="L18" s="6"/>
      <c r="M18" s="6">
        <f>N18+O18+P18+Q18</f>
        <v>0</v>
      </c>
      <c r="N18" s="6"/>
      <c r="O18" s="6"/>
      <c r="P18" s="6"/>
      <c r="Q18" s="76"/>
      <c r="R18" s="107" t="s">
        <v>15</v>
      </c>
      <c r="S18" s="6"/>
      <c r="T18" s="6"/>
      <c r="U18" s="6">
        <f>V18+W18+X18+Y18</f>
        <v>0</v>
      </c>
      <c r="V18" s="6"/>
      <c r="W18" s="6"/>
      <c r="X18" s="6"/>
      <c r="Y18" s="76"/>
      <c r="Z18" s="1"/>
      <c r="AA18" s="107" t="s">
        <v>15</v>
      </c>
      <c r="AB18" s="6"/>
      <c r="AC18" s="6"/>
      <c r="AD18" s="6">
        <f>AE18+AF18+AG18+AH18</f>
        <v>0</v>
      </c>
      <c r="AE18" s="6"/>
      <c r="AF18" s="6"/>
      <c r="AG18" s="6"/>
      <c r="AH18" s="76"/>
      <c r="AI18" s="1"/>
      <c r="AJ18" s="107" t="s">
        <v>15</v>
      </c>
      <c r="AK18" s="6"/>
      <c r="AL18" s="6"/>
      <c r="AM18" s="6">
        <f>AN18+AO18+AP18+AQ18</f>
        <v>0</v>
      </c>
      <c r="AN18" s="6"/>
      <c r="AO18" s="6"/>
      <c r="AP18" s="6"/>
      <c r="AQ18" s="95"/>
    </row>
    <row r="19" spans="1:43" customFormat="1" ht="12.75" customHeight="1">
      <c r="A19" s="517" t="s">
        <v>16</v>
      </c>
      <c r="B19" s="464"/>
      <c r="C19" s="464"/>
      <c r="D19" s="464"/>
      <c r="E19" s="464"/>
      <c r="F19" s="464"/>
      <c r="G19" s="464"/>
      <c r="H19" s="518"/>
      <c r="J19" s="517" t="s">
        <v>16</v>
      </c>
      <c r="K19" s="462"/>
      <c r="L19" s="462"/>
      <c r="M19" s="462"/>
      <c r="N19" s="462"/>
      <c r="O19" s="462"/>
      <c r="P19" s="462"/>
      <c r="Q19" s="519"/>
      <c r="R19" s="517" t="s">
        <v>16</v>
      </c>
      <c r="S19" s="462"/>
      <c r="T19" s="462"/>
      <c r="U19" s="462"/>
      <c r="V19" s="462"/>
      <c r="W19" s="462"/>
      <c r="X19" s="462"/>
      <c r="Y19" s="519"/>
      <c r="Z19" s="296"/>
      <c r="AA19" s="517" t="s">
        <v>16</v>
      </c>
      <c r="AB19" s="462"/>
      <c r="AC19" s="462"/>
      <c r="AD19" s="462"/>
      <c r="AE19" s="462"/>
      <c r="AF19" s="462"/>
      <c r="AG19" s="462"/>
      <c r="AH19" s="519"/>
      <c r="AI19" s="296"/>
      <c r="AJ19" s="517" t="s">
        <v>16</v>
      </c>
      <c r="AK19" s="462"/>
      <c r="AL19" s="462"/>
      <c r="AM19" s="462"/>
      <c r="AN19" s="462"/>
      <c r="AO19" s="462"/>
      <c r="AP19" s="462"/>
      <c r="AQ19" s="519"/>
    </row>
    <row r="20" spans="1:43" customFormat="1">
      <c r="A20" s="245" t="s">
        <v>18</v>
      </c>
      <c r="B20" s="6">
        <f>B23+B26+B29+B32+B35+B38</f>
        <v>969.19999999999982</v>
      </c>
      <c r="C20" s="6">
        <f t="shared" ref="C20:H21" si="16">C23+C26+C29+C32+C35+C38</f>
        <v>50785</v>
      </c>
      <c r="D20" s="6">
        <f t="shared" si="16"/>
        <v>44023</v>
      </c>
      <c r="E20" s="6">
        <f t="shared" si="16"/>
        <v>4070</v>
      </c>
      <c r="F20" s="6">
        <f t="shared" si="16"/>
        <v>10737</v>
      </c>
      <c r="G20" s="6">
        <f t="shared" si="16"/>
        <v>1888</v>
      </c>
      <c r="H20" s="95">
        <f t="shared" si="16"/>
        <v>27328</v>
      </c>
      <c r="J20" s="245" t="s">
        <v>18</v>
      </c>
      <c r="K20" s="6">
        <f>K23+K26+K29+K32+K35+K38</f>
        <v>259</v>
      </c>
      <c r="L20" s="6">
        <f t="shared" ref="L20:Q20" si="17">L23+L26+L29+L32+L35+L38</f>
        <v>8883</v>
      </c>
      <c r="M20" s="6">
        <f t="shared" si="17"/>
        <v>7422</v>
      </c>
      <c r="N20" s="98">
        <f t="shared" si="17"/>
        <v>466</v>
      </c>
      <c r="O20" s="98">
        <f t="shared" si="17"/>
        <v>2392</v>
      </c>
      <c r="P20" s="98">
        <f t="shared" si="17"/>
        <v>404</v>
      </c>
      <c r="Q20" s="95">
        <f t="shared" si="17"/>
        <v>4160</v>
      </c>
      <c r="R20" s="245" t="s">
        <v>18</v>
      </c>
      <c r="S20" s="6">
        <f t="shared" ref="S20:Y21" si="18">S23+S26+S29+S32+S35+S38</f>
        <v>674.8</v>
      </c>
      <c r="T20" s="6">
        <f t="shared" si="18"/>
        <v>41012</v>
      </c>
      <c r="U20" s="6">
        <f t="shared" si="18"/>
        <v>35849</v>
      </c>
      <c r="V20" s="6">
        <f t="shared" si="18"/>
        <v>3590</v>
      </c>
      <c r="W20" s="6">
        <f t="shared" si="18"/>
        <v>8225</v>
      </c>
      <c r="X20" s="6">
        <f t="shared" si="18"/>
        <v>1464</v>
      </c>
      <c r="Y20" s="95">
        <f t="shared" si="18"/>
        <v>22570</v>
      </c>
      <c r="Z20" s="1"/>
      <c r="AA20" s="245" t="s">
        <v>18</v>
      </c>
      <c r="AB20" s="27">
        <f>AB23+AB26+AB29+AB32+AB35+AB38</f>
        <v>128.20000000000002</v>
      </c>
      <c r="AC20" s="6">
        <f t="shared" ref="AC20:AH21" si="19">AC23+AC26+AC29+AC32+AC35+AC38</f>
        <v>11264</v>
      </c>
      <c r="AD20" s="6">
        <f t="shared" si="19"/>
        <v>9763</v>
      </c>
      <c r="AE20" s="6">
        <f t="shared" si="19"/>
        <v>2604</v>
      </c>
      <c r="AF20" s="6">
        <f t="shared" si="19"/>
        <v>2440</v>
      </c>
      <c r="AG20" s="6">
        <f t="shared" si="19"/>
        <v>326</v>
      </c>
      <c r="AH20" s="95">
        <f t="shared" si="19"/>
        <v>4393</v>
      </c>
      <c r="AI20" s="1"/>
      <c r="AJ20" s="245" t="s">
        <v>18</v>
      </c>
      <c r="AK20" s="6">
        <f>AK23+AK26+AK29+AK32+AK35+AK38</f>
        <v>35.4</v>
      </c>
      <c r="AL20" s="6">
        <f t="shared" ref="AL20:AQ21" si="20">AL23+AL26+AL29+AL32+AL35+AL38</f>
        <v>890</v>
      </c>
      <c r="AM20" s="6">
        <f t="shared" si="20"/>
        <v>752</v>
      </c>
      <c r="AN20" s="6">
        <f t="shared" si="20"/>
        <v>14</v>
      </c>
      <c r="AO20" s="6">
        <f t="shared" si="20"/>
        <v>120</v>
      </c>
      <c r="AP20" s="6">
        <f t="shared" si="20"/>
        <v>20</v>
      </c>
      <c r="AQ20" s="95">
        <f t="shared" si="20"/>
        <v>598</v>
      </c>
    </row>
    <row r="21" spans="1:43">
      <c r="A21" s="106" t="s">
        <v>19</v>
      </c>
      <c r="B21" s="6">
        <f>B24+B27+B30+B33+B36+B39</f>
        <v>867.90000000000009</v>
      </c>
      <c r="C21" s="6">
        <f t="shared" si="16"/>
        <v>48355</v>
      </c>
      <c r="D21" s="6">
        <f t="shared" si="16"/>
        <v>42028</v>
      </c>
      <c r="E21" s="6">
        <f t="shared" si="16"/>
        <v>2255</v>
      </c>
      <c r="F21" s="6">
        <f t="shared" si="16"/>
        <v>9702</v>
      </c>
      <c r="G21" s="6">
        <f t="shared" si="16"/>
        <v>2846</v>
      </c>
      <c r="H21" s="95">
        <f t="shared" si="16"/>
        <v>27225</v>
      </c>
      <c r="I21"/>
      <c r="J21" s="106" t="s">
        <v>19</v>
      </c>
      <c r="K21" s="27">
        <f>K27+K30+K36+K39</f>
        <v>278.7</v>
      </c>
      <c r="L21" s="26">
        <f>L27+L30+L36+L39</f>
        <v>15070</v>
      </c>
      <c r="M21" s="6">
        <f>M30+M36+M39+M27</f>
        <v>12385</v>
      </c>
      <c r="N21" s="98">
        <f>N30+N36+N39+N27</f>
        <v>689</v>
      </c>
      <c r="O21" s="98">
        <f>O30+O36+O39+O27</f>
        <v>4054</v>
      </c>
      <c r="P21" s="98">
        <f>P30+P36+P39+P27</f>
        <v>981</v>
      </c>
      <c r="Q21" s="95">
        <f>Q30+Q36+Q39+Q27</f>
        <v>6661</v>
      </c>
      <c r="R21" s="106" t="s">
        <v>19</v>
      </c>
      <c r="S21" s="27">
        <f>S24+S27+S30+S33+S36+S39</f>
        <v>580.9</v>
      </c>
      <c r="T21" s="6">
        <f>T24+T27+T30+T33+T36+T39</f>
        <v>32655</v>
      </c>
      <c r="U21" s="6">
        <f>U24+U27+U30+U33+U36+U39</f>
        <v>29086</v>
      </c>
      <c r="V21" s="6">
        <f t="shared" si="18"/>
        <v>1503</v>
      </c>
      <c r="W21" s="6">
        <f t="shared" si="18"/>
        <v>5459</v>
      </c>
      <c r="X21" s="6">
        <f t="shared" si="18"/>
        <v>1845</v>
      </c>
      <c r="Y21" s="95">
        <f t="shared" si="18"/>
        <v>20279</v>
      </c>
      <c r="Z21" s="1"/>
      <c r="AA21" s="106" t="s">
        <v>19</v>
      </c>
      <c r="AB21" s="27">
        <f>AB24+AB27+AB30+AB33+AB36+AB39</f>
        <v>64.5</v>
      </c>
      <c r="AC21" s="99">
        <f t="shared" si="19"/>
        <v>5120</v>
      </c>
      <c r="AD21" s="99">
        <f t="shared" si="19"/>
        <v>4477</v>
      </c>
      <c r="AE21" s="99">
        <f t="shared" si="19"/>
        <v>614</v>
      </c>
      <c r="AF21" s="99">
        <f t="shared" si="19"/>
        <v>992</v>
      </c>
      <c r="AG21" s="99">
        <f t="shared" si="19"/>
        <v>247</v>
      </c>
      <c r="AH21" s="99">
        <f t="shared" si="19"/>
        <v>2624</v>
      </c>
      <c r="AI21" s="1"/>
      <c r="AJ21" s="106" t="s">
        <v>19</v>
      </c>
      <c r="AK21" s="6">
        <f>AK24+AK27+AK30+AK33+AK36+AK39</f>
        <v>8.3000000000000007</v>
      </c>
      <c r="AL21" s="6">
        <f t="shared" si="20"/>
        <v>630</v>
      </c>
      <c r="AM21" s="6">
        <f t="shared" si="20"/>
        <v>557</v>
      </c>
      <c r="AN21" s="6">
        <f t="shared" si="20"/>
        <v>63</v>
      </c>
      <c r="AO21" s="6">
        <f t="shared" si="20"/>
        <v>189</v>
      </c>
      <c r="AP21" s="6">
        <f t="shared" si="20"/>
        <v>20</v>
      </c>
      <c r="AQ21" s="95">
        <f t="shared" si="20"/>
        <v>285</v>
      </c>
    </row>
    <row r="22" spans="1:43" customFormat="1">
      <c r="A22" s="245" t="s">
        <v>20</v>
      </c>
      <c r="B22" s="26">
        <f t="shared" ref="B22:H22" si="21">B21/B20*100</f>
        <v>89.548080891456891</v>
      </c>
      <c r="C22" s="26">
        <f t="shared" si="21"/>
        <v>95.215122575563655</v>
      </c>
      <c r="D22" s="26">
        <f t="shared" si="21"/>
        <v>95.468277945619334</v>
      </c>
      <c r="E22" s="26">
        <f t="shared" si="21"/>
        <v>55.405405405405403</v>
      </c>
      <c r="F22" s="26">
        <f t="shared" si="21"/>
        <v>90.360435875942997</v>
      </c>
      <c r="G22" s="26">
        <f t="shared" si="21"/>
        <v>150.7415254237288</v>
      </c>
      <c r="H22" s="96">
        <f t="shared" si="21"/>
        <v>99.623097189695557</v>
      </c>
      <c r="J22" s="245" t="s">
        <v>20</v>
      </c>
      <c r="K22" s="26">
        <f t="shared" ref="K22:Q22" si="22">K21/K20*100</f>
        <v>107.60617760617761</v>
      </c>
      <c r="L22" s="26">
        <f t="shared" si="22"/>
        <v>169.64989305414838</v>
      </c>
      <c r="M22" s="26">
        <f t="shared" si="22"/>
        <v>166.86876852600378</v>
      </c>
      <c r="N22" s="99">
        <f t="shared" si="22"/>
        <v>147.85407725321889</v>
      </c>
      <c r="O22" s="99">
        <f t="shared" si="22"/>
        <v>169.48160535117057</v>
      </c>
      <c r="P22" s="99">
        <f t="shared" si="22"/>
        <v>242.82178217821783</v>
      </c>
      <c r="Q22" s="96">
        <f t="shared" si="22"/>
        <v>160.12019230769229</v>
      </c>
      <c r="R22" s="245" t="s">
        <v>20</v>
      </c>
      <c r="S22" s="26">
        <f t="shared" ref="S22:Y22" si="23">S21/S20*100</f>
        <v>86.084765856550092</v>
      </c>
      <c r="T22" s="26">
        <f t="shared" si="23"/>
        <v>79.623037159855642</v>
      </c>
      <c r="U22" s="26">
        <f t="shared" si="23"/>
        <v>81.134759686462672</v>
      </c>
      <c r="V22" s="26">
        <f t="shared" si="23"/>
        <v>41.866295264623957</v>
      </c>
      <c r="W22" s="26">
        <f t="shared" si="23"/>
        <v>66.370820668693014</v>
      </c>
      <c r="X22" s="26">
        <f t="shared" si="23"/>
        <v>126.02459016393443</v>
      </c>
      <c r="Y22" s="96">
        <f t="shared" si="23"/>
        <v>89.849357554275585</v>
      </c>
      <c r="Z22" s="113"/>
      <c r="AA22" s="245" t="s">
        <v>20</v>
      </c>
      <c r="AB22" s="26">
        <f t="shared" ref="AB22:AH22" si="24">AB21/AB20*100</f>
        <v>50.312012480499213</v>
      </c>
      <c r="AC22" s="26">
        <f t="shared" si="24"/>
        <v>45.454545454545453</v>
      </c>
      <c r="AD22" s="26">
        <f t="shared" si="24"/>
        <v>45.856806309536005</v>
      </c>
      <c r="AE22" s="26">
        <f t="shared" si="24"/>
        <v>23.579109062980031</v>
      </c>
      <c r="AF22" s="26">
        <f t="shared" si="24"/>
        <v>40.655737704918032</v>
      </c>
      <c r="AG22" s="26">
        <f t="shared" si="24"/>
        <v>75.766871165644162</v>
      </c>
      <c r="AH22" s="96">
        <f t="shared" si="24"/>
        <v>59.731390849078082</v>
      </c>
      <c r="AI22" s="113"/>
      <c r="AJ22" s="245" t="s">
        <v>20</v>
      </c>
      <c r="AK22" s="26">
        <f>AK21/AK20*100</f>
        <v>23.446327683615824</v>
      </c>
      <c r="AL22" s="26">
        <f>AL21/AL20*100</f>
        <v>70.786516853932582</v>
      </c>
      <c r="AM22" s="26">
        <f>AM21/AM20*100</f>
        <v>74.069148936170208</v>
      </c>
      <c r="AN22" s="26">
        <v>0</v>
      </c>
      <c r="AO22" s="26">
        <f>AO21/AO20*100</f>
        <v>157.5</v>
      </c>
      <c r="AP22" s="26">
        <f>AP21/AP20*100</f>
        <v>100</v>
      </c>
      <c r="AQ22" s="96">
        <f>AQ21/AQ20*100</f>
        <v>47.658862876254183</v>
      </c>
    </row>
    <row r="23" spans="1:43" customFormat="1">
      <c r="A23" s="107" t="s">
        <v>21</v>
      </c>
      <c r="B23" s="27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5">N23+V23+AN23</f>
        <v>0</v>
      </c>
      <c r="F23" s="6">
        <f t="shared" si="25"/>
        <v>0</v>
      </c>
      <c r="G23" s="6">
        <f t="shared" si="25"/>
        <v>0</v>
      </c>
      <c r="H23" s="95">
        <f t="shared" si="25"/>
        <v>0</v>
      </c>
      <c r="J23" s="107" t="s">
        <v>21</v>
      </c>
      <c r="K23" s="6"/>
      <c r="L23" s="6"/>
      <c r="M23" s="6">
        <f>N23+O23+P23+Q23</f>
        <v>0</v>
      </c>
      <c r="N23" s="6"/>
      <c r="O23" s="6"/>
      <c r="P23" s="6"/>
      <c r="Q23" s="95"/>
      <c r="R23" s="107" t="s">
        <v>21</v>
      </c>
      <c r="S23" s="6"/>
      <c r="T23" s="6"/>
      <c r="U23" s="6">
        <f>V23+W23+X23+Y23</f>
        <v>0</v>
      </c>
      <c r="V23" s="6"/>
      <c r="W23" s="6"/>
      <c r="X23" s="6"/>
      <c r="Y23" s="76"/>
      <c r="Z23" s="1"/>
      <c r="AA23" s="107" t="s">
        <v>21</v>
      </c>
      <c r="AB23" s="6"/>
      <c r="AC23" s="6"/>
      <c r="AD23" s="6">
        <f>AE23+AF23+AG23+AH23</f>
        <v>0</v>
      </c>
      <c r="AE23" s="6"/>
      <c r="AF23" s="6"/>
      <c r="AG23" s="6"/>
      <c r="AH23" s="95"/>
      <c r="AI23" s="1"/>
      <c r="AJ23" s="107" t="s">
        <v>21</v>
      </c>
      <c r="AK23" s="6"/>
      <c r="AL23" s="6"/>
      <c r="AM23" s="6">
        <f>AN23+AO23+AP23+AQ23</f>
        <v>0</v>
      </c>
      <c r="AN23" s="6"/>
      <c r="AO23" s="6"/>
      <c r="AP23" s="6"/>
      <c r="AQ23" s="95"/>
    </row>
    <row r="24" spans="1:43" customFormat="1">
      <c r="A24" s="107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5"/>
        <v>0</v>
      </c>
      <c r="F24" s="6">
        <f t="shared" si="25"/>
        <v>0</v>
      </c>
      <c r="G24" s="6">
        <f t="shared" si="25"/>
        <v>0</v>
      </c>
      <c r="H24" s="95">
        <f t="shared" si="25"/>
        <v>0</v>
      </c>
      <c r="J24" s="107" t="s">
        <v>22</v>
      </c>
      <c r="K24" s="6"/>
      <c r="L24" s="6"/>
      <c r="M24" s="6">
        <f>N24+O24+P24+Q24</f>
        <v>0</v>
      </c>
      <c r="N24" s="6"/>
      <c r="O24" s="6"/>
      <c r="P24" s="6"/>
      <c r="Q24" s="95"/>
      <c r="R24" s="107" t="s">
        <v>22</v>
      </c>
      <c r="S24" s="6"/>
      <c r="T24" s="6"/>
      <c r="U24" s="6">
        <f>V24+W24+X24+Y24</f>
        <v>0</v>
      </c>
      <c r="V24" s="6"/>
      <c r="W24" s="6"/>
      <c r="X24" s="6"/>
      <c r="Y24" s="76"/>
      <c r="Z24" s="1"/>
      <c r="AA24" s="107" t="s">
        <v>22</v>
      </c>
      <c r="AB24" s="6"/>
      <c r="AC24" s="6"/>
      <c r="AD24" s="6">
        <f>AE24+AF24+AG24+AH24</f>
        <v>0</v>
      </c>
      <c r="AE24" s="6"/>
      <c r="AF24" s="6"/>
      <c r="AG24" s="6"/>
      <c r="AH24" s="95"/>
      <c r="AI24" s="1"/>
      <c r="AJ24" s="107" t="s">
        <v>22</v>
      </c>
      <c r="AK24" s="6"/>
      <c r="AL24" s="6"/>
      <c r="AM24" s="6">
        <f>AN24+AO24+AP24+AQ24</f>
        <v>0</v>
      </c>
      <c r="AN24" s="6"/>
      <c r="AO24" s="6"/>
      <c r="AP24" s="6"/>
      <c r="AQ24" s="95"/>
    </row>
    <row r="25" spans="1:43" customFormat="1">
      <c r="A25" s="107" t="s">
        <v>12</v>
      </c>
      <c r="B25" s="26" t="e">
        <f t="shared" ref="B25:H25" si="26">B24/B23*100</f>
        <v>#DIV/0!</v>
      </c>
      <c r="C25" s="26" t="e">
        <f t="shared" si="26"/>
        <v>#DIV/0!</v>
      </c>
      <c r="D25" s="26" t="e">
        <f t="shared" si="26"/>
        <v>#DIV/0!</v>
      </c>
      <c r="E25" s="26" t="e">
        <f t="shared" si="26"/>
        <v>#DIV/0!</v>
      </c>
      <c r="F25" s="26" t="e">
        <f t="shared" si="26"/>
        <v>#DIV/0!</v>
      </c>
      <c r="G25" s="26" t="e">
        <f t="shared" si="26"/>
        <v>#DIV/0!</v>
      </c>
      <c r="H25" s="96" t="e">
        <f t="shared" si="26"/>
        <v>#DIV/0!</v>
      </c>
      <c r="J25" s="107" t="s">
        <v>12</v>
      </c>
      <c r="K25" s="26" t="e">
        <f t="shared" ref="K25:Q25" si="27">K24/K23*100</f>
        <v>#DIV/0!</v>
      </c>
      <c r="L25" s="26" t="e">
        <f t="shared" si="27"/>
        <v>#DIV/0!</v>
      </c>
      <c r="M25" s="26" t="e">
        <f t="shared" si="27"/>
        <v>#DIV/0!</v>
      </c>
      <c r="N25" s="26" t="e">
        <f t="shared" si="27"/>
        <v>#DIV/0!</v>
      </c>
      <c r="O25" s="26" t="e">
        <f t="shared" si="27"/>
        <v>#DIV/0!</v>
      </c>
      <c r="P25" s="26" t="e">
        <f t="shared" si="27"/>
        <v>#DIV/0!</v>
      </c>
      <c r="Q25" s="96" t="e">
        <f t="shared" si="27"/>
        <v>#DIV/0!</v>
      </c>
      <c r="R25" s="107" t="s">
        <v>12</v>
      </c>
      <c r="S25" s="26" t="e">
        <f t="shared" ref="S25:Y25" si="28">S24/S23*100</f>
        <v>#DIV/0!</v>
      </c>
      <c r="T25" s="26" t="e">
        <f t="shared" si="28"/>
        <v>#DIV/0!</v>
      </c>
      <c r="U25" s="26" t="e">
        <f t="shared" si="28"/>
        <v>#DIV/0!</v>
      </c>
      <c r="V25" s="26" t="e">
        <f t="shared" si="28"/>
        <v>#DIV/0!</v>
      </c>
      <c r="W25" s="26" t="e">
        <f t="shared" si="28"/>
        <v>#DIV/0!</v>
      </c>
      <c r="X25" s="26" t="e">
        <f t="shared" si="28"/>
        <v>#DIV/0!</v>
      </c>
      <c r="Y25" s="96" t="e">
        <f t="shared" si="28"/>
        <v>#DIV/0!</v>
      </c>
      <c r="Z25" s="113"/>
      <c r="AA25" s="107" t="s">
        <v>12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96">
        <v>0</v>
      </c>
      <c r="AI25" s="113"/>
      <c r="AJ25" s="107" t="s">
        <v>12</v>
      </c>
      <c r="AK25" s="26" t="e">
        <f>AK24/AK23*100</f>
        <v>#DIV/0!</v>
      </c>
      <c r="AL25" s="26" t="e">
        <f>AL24/AL23*100</f>
        <v>#DIV/0!</v>
      </c>
      <c r="AM25" s="26" t="e">
        <f>AM24/AM23*100</f>
        <v>#DIV/0!</v>
      </c>
      <c r="AN25" s="26">
        <v>0</v>
      </c>
      <c r="AO25" s="26" t="e">
        <f>AO24/AO23*100</f>
        <v>#DIV/0!</v>
      </c>
      <c r="AP25" s="26" t="e">
        <f>AP24/AP23*100</f>
        <v>#DIV/0!</v>
      </c>
      <c r="AQ25" s="96" t="e">
        <f>AQ24/AQ23*100</f>
        <v>#DIV/0!</v>
      </c>
    </row>
    <row r="26" spans="1:43" customFormat="1">
      <c r="A26" s="107" t="s">
        <v>23</v>
      </c>
      <c r="B26" s="6">
        <f>K26+S26+AK26</f>
        <v>77.900000000000006</v>
      </c>
      <c r="C26" s="6">
        <f>L26+T26+AL26</f>
        <v>3119</v>
      </c>
      <c r="D26" s="6">
        <f>E26+F26+G26+H26</f>
        <v>2744</v>
      </c>
      <c r="E26" s="6">
        <f t="shared" ref="E26:H27" si="29">N26+V26+AN26</f>
        <v>158</v>
      </c>
      <c r="F26" s="6">
        <f t="shared" si="29"/>
        <v>675</v>
      </c>
      <c r="G26" s="6">
        <f t="shared" si="29"/>
        <v>97</v>
      </c>
      <c r="H26" s="95">
        <f t="shared" si="29"/>
        <v>1814</v>
      </c>
      <c r="J26" s="107" t="s">
        <v>23</v>
      </c>
      <c r="K26" s="27">
        <v>34.200000000000003</v>
      </c>
      <c r="L26" s="6">
        <v>1595</v>
      </c>
      <c r="M26" s="6">
        <f>N26+O26+P26+Q26</f>
        <v>1375</v>
      </c>
      <c r="N26" s="6">
        <v>70</v>
      </c>
      <c r="O26" s="6">
        <v>443</v>
      </c>
      <c r="P26" s="6">
        <v>53</v>
      </c>
      <c r="Q26" s="95">
        <v>809</v>
      </c>
      <c r="R26" s="107" t="s">
        <v>23</v>
      </c>
      <c r="S26" s="6">
        <v>40.200000000000003</v>
      </c>
      <c r="T26" s="6">
        <v>1454</v>
      </c>
      <c r="U26" s="6">
        <f>V26+W26+X26+Y26</f>
        <v>1309</v>
      </c>
      <c r="V26" s="6">
        <v>88</v>
      </c>
      <c r="W26" s="6">
        <v>225</v>
      </c>
      <c r="X26" s="6">
        <v>43</v>
      </c>
      <c r="Y26" s="95">
        <v>953</v>
      </c>
      <c r="Z26" s="1"/>
      <c r="AA26" s="107" t="s">
        <v>23</v>
      </c>
      <c r="AB26" s="27">
        <v>1.7</v>
      </c>
      <c r="AC26" s="6">
        <v>91</v>
      </c>
      <c r="AD26" s="6">
        <f>AE26+AF26+AG26+AH26</f>
        <v>82</v>
      </c>
      <c r="AE26" s="6">
        <v>4</v>
      </c>
      <c r="AF26" s="6">
        <v>14</v>
      </c>
      <c r="AG26" s="6">
        <v>10</v>
      </c>
      <c r="AH26" s="95">
        <v>54</v>
      </c>
      <c r="AI26" s="1"/>
      <c r="AJ26" s="107" t="s">
        <v>23</v>
      </c>
      <c r="AK26" s="6">
        <v>3.5</v>
      </c>
      <c r="AL26" s="6">
        <v>70</v>
      </c>
      <c r="AM26" s="6">
        <f>AN26+AO26+AP26+AQ26</f>
        <v>60</v>
      </c>
      <c r="AN26" s="6"/>
      <c r="AO26" s="6">
        <v>7</v>
      </c>
      <c r="AP26" s="6">
        <v>1</v>
      </c>
      <c r="AQ26" s="95">
        <v>52</v>
      </c>
    </row>
    <row r="27" spans="1:43" customFormat="1">
      <c r="A27" s="107" t="s">
        <v>24</v>
      </c>
      <c r="B27" s="6">
        <f>K27+S27+AK27</f>
        <v>100</v>
      </c>
      <c r="C27" s="6">
        <f>L27+T27+AL27</f>
        <v>5750</v>
      </c>
      <c r="D27" s="6">
        <f>E27+F27+G27+H27</f>
        <v>4979</v>
      </c>
      <c r="E27" s="6">
        <f t="shared" si="29"/>
        <v>390</v>
      </c>
      <c r="F27" s="6">
        <f t="shared" si="29"/>
        <v>1428</v>
      </c>
      <c r="G27" s="6">
        <f t="shared" si="29"/>
        <v>276</v>
      </c>
      <c r="H27" s="95">
        <f t="shared" si="29"/>
        <v>2885</v>
      </c>
      <c r="J27" s="107" t="s">
        <v>24</v>
      </c>
      <c r="K27" s="27">
        <v>58.2</v>
      </c>
      <c r="L27" s="6">
        <v>3980</v>
      </c>
      <c r="M27" s="6">
        <f>N27+O27+P27+Q27</f>
        <v>3368</v>
      </c>
      <c r="N27" s="6">
        <v>266</v>
      </c>
      <c r="O27" s="6">
        <v>1100</v>
      </c>
      <c r="P27" s="6">
        <v>195</v>
      </c>
      <c r="Q27" s="95">
        <v>1807</v>
      </c>
      <c r="R27" s="107" t="s">
        <v>24</v>
      </c>
      <c r="S27" s="27">
        <v>33.5</v>
      </c>
      <c r="T27" s="6">
        <v>1140</v>
      </c>
      <c r="U27" s="6">
        <f>V27+W27+X27+Y27</f>
        <v>1054</v>
      </c>
      <c r="V27" s="6">
        <v>61</v>
      </c>
      <c r="W27" s="6">
        <v>139</v>
      </c>
      <c r="X27" s="6">
        <v>61</v>
      </c>
      <c r="Y27" s="95">
        <v>793</v>
      </c>
      <c r="Z27" s="1"/>
      <c r="AA27" s="107" t="s">
        <v>24</v>
      </c>
      <c r="AB27" s="6">
        <v>1.5</v>
      </c>
      <c r="AC27" s="6">
        <v>110</v>
      </c>
      <c r="AD27" s="6">
        <f>AE27+AF27+AG27+AH27</f>
        <v>102</v>
      </c>
      <c r="AE27" s="6">
        <v>6</v>
      </c>
      <c r="AF27" s="6">
        <v>13</v>
      </c>
      <c r="AG27" s="6">
        <v>6</v>
      </c>
      <c r="AH27" s="95">
        <v>77</v>
      </c>
      <c r="AI27" s="1"/>
      <c r="AJ27" s="107" t="s">
        <v>24</v>
      </c>
      <c r="AK27" s="27">
        <v>8.3000000000000007</v>
      </c>
      <c r="AL27" s="6">
        <v>630</v>
      </c>
      <c r="AM27" s="6">
        <f>AN27+AO27+AP27+AQ27</f>
        <v>557</v>
      </c>
      <c r="AN27" s="6">
        <v>63</v>
      </c>
      <c r="AO27" s="6">
        <v>189</v>
      </c>
      <c r="AP27" s="6">
        <v>20</v>
      </c>
      <c r="AQ27" s="95">
        <v>285</v>
      </c>
    </row>
    <row r="28" spans="1:43" customFormat="1">
      <c r="A28" s="107" t="s">
        <v>12</v>
      </c>
      <c r="B28" s="26">
        <f t="shared" ref="B28:H28" si="30">B27/B26*100</f>
        <v>128.36970474967904</v>
      </c>
      <c r="C28" s="26">
        <f t="shared" si="30"/>
        <v>184.35395960243667</v>
      </c>
      <c r="D28" s="26">
        <f t="shared" si="30"/>
        <v>181.45043731778426</v>
      </c>
      <c r="E28" s="26">
        <f t="shared" si="30"/>
        <v>246.83544303797467</v>
      </c>
      <c r="F28" s="26">
        <f t="shared" si="30"/>
        <v>211.55555555555554</v>
      </c>
      <c r="G28" s="26">
        <f t="shared" si="30"/>
        <v>284.53608247422682</v>
      </c>
      <c r="H28" s="96">
        <f t="shared" si="30"/>
        <v>159.04079382579934</v>
      </c>
      <c r="J28" s="107" t="s">
        <v>12</v>
      </c>
      <c r="K28" s="26">
        <f t="shared" ref="K28:Q28" si="31">K27/K26*100</f>
        <v>170.17543859649123</v>
      </c>
      <c r="L28" s="26">
        <f t="shared" si="31"/>
        <v>249.52978056426335</v>
      </c>
      <c r="M28" s="26">
        <f t="shared" si="31"/>
        <v>244.94545454545454</v>
      </c>
      <c r="N28" s="26">
        <f t="shared" si="31"/>
        <v>380</v>
      </c>
      <c r="O28" s="26">
        <f t="shared" si="31"/>
        <v>248.30699774266364</v>
      </c>
      <c r="P28" s="26">
        <f t="shared" si="31"/>
        <v>367.92452830188677</v>
      </c>
      <c r="Q28" s="96">
        <f t="shared" si="31"/>
        <v>223.36217552533992</v>
      </c>
      <c r="R28" s="107" t="s">
        <v>12</v>
      </c>
      <c r="S28" s="26">
        <f t="shared" ref="S28:Y28" si="32">S27/S26*100</f>
        <v>83.333333333333329</v>
      </c>
      <c r="T28" s="26">
        <f t="shared" si="32"/>
        <v>78.404401650618979</v>
      </c>
      <c r="U28" s="26">
        <f t="shared" si="32"/>
        <v>80.519480519480524</v>
      </c>
      <c r="V28" s="26">
        <f t="shared" si="32"/>
        <v>69.318181818181827</v>
      </c>
      <c r="W28" s="26">
        <f t="shared" si="32"/>
        <v>61.777777777777779</v>
      </c>
      <c r="X28" s="26">
        <f t="shared" si="32"/>
        <v>141.86046511627907</v>
      </c>
      <c r="Y28" s="96">
        <f t="shared" si="32"/>
        <v>83.210912906610702</v>
      </c>
      <c r="Z28" s="113"/>
      <c r="AA28" s="107" t="s">
        <v>12</v>
      </c>
      <c r="AB28" s="175">
        <f>AB27/AB26*100</f>
        <v>88.235294117647058</v>
      </c>
      <c r="AC28" s="175">
        <f t="shared" ref="AC28:AH28" si="33">AC27/AC26*100</f>
        <v>120.87912087912088</v>
      </c>
      <c r="AD28" s="175">
        <f t="shared" si="33"/>
        <v>124.39024390243902</v>
      </c>
      <c r="AE28" s="175">
        <f t="shared" si="33"/>
        <v>150</v>
      </c>
      <c r="AF28" s="175">
        <f t="shared" si="33"/>
        <v>92.857142857142861</v>
      </c>
      <c r="AG28" s="175">
        <f t="shared" si="33"/>
        <v>60</v>
      </c>
      <c r="AH28" s="371">
        <f t="shared" si="33"/>
        <v>142.59259259259258</v>
      </c>
      <c r="AI28" s="113"/>
      <c r="AJ28" s="107" t="s">
        <v>12</v>
      </c>
      <c r="AK28" s="26">
        <f>AK27/AK26*100</f>
        <v>237.14285714285714</v>
      </c>
      <c r="AL28" s="26">
        <f>AL27/AL26*100</f>
        <v>900</v>
      </c>
      <c r="AM28" s="26">
        <f>AM27/AM26*100</f>
        <v>928.33333333333337</v>
      </c>
      <c r="AN28" s="26">
        <v>0</v>
      </c>
      <c r="AO28" s="26">
        <f>AO27/AO26*100</f>
        <v>2700</v>
      </c>
      <c r="AP28" s="26">
        <f>AP27/AP26*100</f>
        <v>2000</v>
      </c>
      <c r="AQ28" s="96">
        <f>AQ27/AQ26*100</f>
        <v>548.07692307692309</v>
      </c>
    </row>
    <row r="29" spans="1:43" customFormat="1">
      <c r="A29" s="107" t="s">
        <v>25</v>
      </c>
      <c r="B29" s="6">
        <f>K29+S29+AK29</f>
        <v>415.19999999999993</v>
      </c>
      <c r="C29" s="6">
        <f>L29+T29+AL29</f>
        <v>15295</v>
      </c>
      <c r="D29" s="6">
        <f>E29+F29+G29+H29</f>
        <v>13680</v>
      </c>
      <c r="E29" s="6">
        <f t="shared" ref="E29:H30" si="34">N29+V29+AN29</f>
        <v>688</v>
      </c>
      <c r="F29" s="6">
        <f t="shared" si="34"/>
        <v>2240</v>
      </c>
      <c r="G29" s="6">
        <f t="shared" si="34"/>
        <v>481</v>
      </c>
      <c r="H29" s="95">
        <f t="shared" si="34"/>
        <v>10271</v>
      </c>
      <c r="J29" s="107" t="s">
        <v>25</v>
      </c>
      <c r="K29" s="27">
        <v>67.599999999999994</v>
      </c>
      <c r="L29" s="6">
        <v>1471</v>
      </c>
      <c r="M29" s="6">
        <f>N29+O29+P29+Q29</f>
        <v>1252</v>
      </c>
      <c r="N29" s="6">
        <v>28</v>
      </c>
      <c r="O29" s="6">
        <v>193</v>
      </c>
      <c r="P29" s="6">
        <v>40</v>
      </c>
      <c r="Q29" s="95">
        <v>991</v>
      </c>
      <c r="R29" s="107" t="s">
        <v>25</v>
      </c>
      <c r="S29" s="6">
        <v>333.2</v>
      </c>
      <c r="T29" s="6">
        <v>13510</v>
      </c>
      <c r="U29" s="6">
        <f>V29+W29+X29+Y29</f>
        <v>12156</v>
      </c>
      <c r="V29" s="6">
        <v>660</v>
      </c>
      <c r="W29" s="6">
        <v>2014</v>
      </c>
      <c r="X29" s="6">
        <v>434</v>
      </c>
      <c r="Y29" s="95">
        <v>9048</v>
      </c>
      <c r="Z29" s="1"/>
      <c r="AA29" s="107" t="s">
        <v>25</v>
      </c>
      <c r="AB29" s="27">
        <v>10.5</v>
      </c>
      <c r="AC29" s="6">
        <v>589</v>
      </c>
      <c r="AD29" s="6">
        <f>AE29+AF29+AG29+AH29</f>
        <v>531</v>
      </c>
      <c r="AE29" s="6">
        <v>23</v>
      </c>
      <c r="AF29" s="6">
        <v>89</v>
      </c>
      <c r="AG29" s="6">
        <v>58</v>
      </c>
      <c r="AH29" s="95">
        <v>361</v>
      </c>
      <c r="AI29" s="1"/>
      <c r="AJ29" s="107" t="s">
        <v>25</v>
      </c>
      <c r="AK29" s="6">
        <v>14.4</v>
      </c>
      <c r="AL29" s="6">
        <v>314</v>
      </c>
      <c r="AM29" s="6">
        <f>AN29+AO29+AP29+AQ29</f>
        <v>272</v>
      </c>
      <c r="AN29" s="6"/>
      <c r="AO29" s="6">
        <v>33</v>
      </c>
      <c r="AP29" s="6">
        <v>7</v>
      </c>
      <c r="AQ29" s="95">
        <v>232</v>
      </c>
    </row>
    <row r="30" spans="1:43" customFormat="1">
      <c r="A30" s="107" t="s">
        <v>26</v>
      </c>
      <c r="B30" s="6">
        <f>K30+S30+AK30</f>
        <v>344.2</v>
      </c>
      <c r="C30" s="6">
        <f>L30+T30+AL30</f>
        <v>13140</v>
      </c>
      <c r="D30" s="6">
        <f>E30+F30+G30+H30</f>
        <v>11983</v>
      </c>
      <c r="E30" s="6">
        <f t="shared" si="34"/>
        <v>633</v>
      </c>
      <c r="F30" s="6">
        <f t="shared" si="34"/>
        <v>1631</v>
      </c>
      <c r="G30" s="6">
        <f t="shared" si="34"/>
        <v>681</v>
      </c>
      <c r="H30" s="95">
        <f t="shared" si="34"/>
        <v>9038</v>
      </c>
      <c r="J30" s="107" t="s">
        <v>26</v>
      </c>
      <c r="K30" s="27">
        <v>25.4</v>
      </c>
      <c r="L30" s="6">
        <v>810</v>
      </c>
      <c r="M30" s="6">
        <f>Q30+P30+O30+N30</f>
        <v>651</v>
      </c>
      <c r="N30" s="6">
        <v>7</v>
      </c>
      <c r="O30" s="6">
        <v>101</v>
      </c>
      <c r="P30" s="6">
        <v>79</v>
      </c>
      <c r="Q30" s="95">
        <v>464</v>
      </c>
      <c r="R30" s="107" t="s">
        <v>26</v>
      </c>
      <c r="S30" s="27">
        <v>318.8</v>
      </c>
      <c r="T30" s="6">
        <v>12330</v>
      </c>
      <c r="U30" s="6">
        <f>V30+W30+X30+Y30</f>
        <v>11332</v>
      </c>
      <c r="V30" s="6">
        <v>626</v>
      </c>
      <c r="W30" s="6">
        <v>1530</v>
      </c>
      <c r="X30" s="6">
        <v>602</v>
      </c>
      <c r="Y30" s="95">
        <v>8574</v>
      </c>
      <c r="Z30" s="1"/>
      <c r="AA30" s="107" t="s">
        <v>26</v>
      </c>
      <c r="AB30" s="27">
        <v>3.7</v>
      </c>
      <c r="AC30" s="6">
        <v>210</v>
      </c>
      <c r="AD30" s="6">
        <f>AE30+AF30+AG30+AH30</f>
        <v>194</v>
      </c>
      <c r="AE30" s="6">
        <v>11</v>
      </c>
      <c r="AF30" s="6">
        <v>25</v>
      </c>
      <c r="AG30" s="6">
        <v>11</v>
      </c>
      <c r="AH30" s="95">
        <v>147</v>
      </c>
      <c r="AI30" s="1"/>
      <c r="AJ30" s="107" t="s">
        <v>26</v>
      </c>
      <c r="AK30" s="6">
        <v>0</v>
      </c>
      <c r="AL30" s="6">
        <v>0</v>
      </c>
      <c r="AM30" s="6">
        <f>AN30+AO30+AP30+AQ30</f>
        <v>0</v>
      </c>
      <c r="AN30" s="6">
        <v>0</v>
      </c>
      <c r="AO30" s="6">
        <v>0</v>
      </c>
      <c r="AP30" s="6">
        <v>0</v>
      </c>
      <c r="AQ30" s="95">
        <v>0</v>
      </c>
    </row>
    <row r="31" spans="1:43" customFormat="1">
      <c r="A31" s="107" t="s">
        <v>12</v>
      </c>
      <c r="B31" s="26">
        <f t="shared" ref="B31:H31" si="35">B30/B29*100</f>
        <v>82.899807321772656</v>
      </c>
      <c r="C31" s="26">
        <f t="shared" si="35"/>
        <v>85.910428244524354</v>
      </c>
      <c r="D31" s="26">
        <f t="shared" si="35"/>
        <v>87.595029239766092</v>
      </c>
      <c r="E31" s="26">
        <f t="shared" si="35"/>
        <v>92.005813953488371</v>
      </c>
      <c r="F31" s="26">
        <f t="shared" si="35"/>
        <v>72.8125</v>
      </c>
      <c r="G31" s="26">
        <f t="shared" si="35"/>
        <v>141.58004158004158</v>
      </c>
      <c r="H31" s="96">
        <f t="shared" si="35"/>
        <v>87.995326647843441</v>
      </c>
      <c r="J31" s="107" t="s">
        <v>12</v>
      </c>
      <c r="K31" s="26">
        <f t="shared" ref="K31:Q31" si="36">K30/K29*100</f>
        <v>37.573964497041423</v>
      </c>
      <c r="L31" s="26">
        <f t="shared" si="36"/>
        <v>55.064581917063229</v>
      </c>
      <c r="M31" s="26">
        <f t="shared" si="36"/>
        <v>51.996805111821089</v>
      </c>
      <c r="N31" s="26">
        <f t="shared" si="36"/>
        <v>25</v>
      </c>
      <c r="O31" s="26">
        <f t="shared" si="36"/>
        <v>52.331606217616574</v>
      </c>
      <c r="P31" s="26">
        <f t="shared" si="36"/>
        <v>197.5</v>
      </c>
      <c r="Q31" s="96">
        <f t="shared" si="36"/>
        <v>46.821392532795159</v>
      </c>
      <c r="R31" s="107" t="s">
        <v>12</v>
      </c>
      <c r="S31" s="26">
        <f t="shared" ref="S31:Y31" si="37">S30/S29*100</f>
        <v>95.678271308523421</v>
      </c>
      <c r="T31" s="26">
        <f t="shared" si="37"/>
        <v>91.26572908956328</v>
      </c>
      <c r="U31" s="26">
        <f t="shared" si="37"/>
        <v>93.221454425797958</v>
      </c>
      <c r="V31" s="26">
        <f t="shared" si="37"/>
        <v>94.848484848484844</v>
      </c>
      <c r="W31" s="26">
        <f t="shared" si="37"/>
        <v>75.968222442899702</v>
      </c>
      <c r="X31" s="26">
        <f t="shared" si="37"/>
        <v>138.70967741935485</v>
      </c>
      <c r="Y31" s="96">
        <f t="shared" si="37"/>
        <v>94.761273209549074</v>
      </c>
      <c r="Z31" s="113"/>
      <c r="AA31" s="107" t="s">
        <v>12</v>
      </c>
      <c r="AB31" s="99">
        <f>AB30/AB29*100</f>
        <v>35.238095238095241</v>
      </c>
      <c r="AC31" s="99">
        <f t="shared" ref="AC31:AH31" si="38">AC30/AC29*100</f>
        <v>35.653650254668925</v>
      </c>
      <c r="AD31" s="99">
        <f t="shared" si="38"/>
        <v>36.534839924670429</v>
      </c>
      <c r="AE31" s="99">
        <f t="shared" si="38"/>
        <v>47.826086956521742</v>
      </c>
      <c r="AF31" s="99">
        <f t="shared" si="38"/>
        <v>28.08988764044944</v>
      </c>
      <c r="AG31" s="99">
        <f t="shared" si="38"/>
        <v>18.96551724137931</v>
      </c>
      <c r="AH31" s="96">
        <f t="shared" si="38"/>
        <v>40.720221606648202</v>
      </c>
      <c r="AI31" s="113"/>
      <c r="AJ31" s="107" t="s">
        <v>12</v>
      </c>
      <c r="AK31" s="26">
        <f>AK30/AK29*100</f>
        <v>0</v>
      </c>
      <c r="AL31" s="26">
        <f>AL30/AL29*100</f>
        <v>0</v>
      </c>
      <c r="AM31" s="26">
        <f>AM30/AM29*100</f>
        <v>0</v>
      </c>
      <c r="AN31" s="26">
        <v>0</v>
      </c>
      <c r="AO31" s="26">
        <f>AO30/AO29*100</f>
        <v>0</v>
      </c>
      <c r="AP31" s="26">
        <f>AP30/AP29*100</f>
        <v>0</v>
      </c>
      <c r="AQ31" s="96">
        <f>AQ30/AQ29*100</f>
        <v>0</v>
      </c>
    </row>
    <row r="32" spans="1:43" customFormat="1">
      <c r="A32" s="107" t="s">
        <v>27</v>
      </c>
      <c r="B32" s="6">
        <f>K32+S32+AK32</f>
        <v>14.5</v>
      </c>
      <c r="C32" s="6">
        <f>L32+T32+AL32</f>
        <v>2286</v>
      </c>
      <c r="D32" s="6">
        <f>E32+F32+G32+H32</f>
        <v>2057</v>
      </c>
      <c r="E32" s="6">
        <f t="shared" ref="E32:H33" si="39">N32+V32+AN32</f>
        <v>432</v>
      </c>
      <c r="F32" s="6">
        <f t="shared" si="39"/>
        <v>831</v>
      </c>
      <c r="G32" s="6">
        <f t="shared" si="39"/>
        <v>91</v>
      </c>
      <c r="H32" s="95">
        <f t="shared" si="39"/>
        <v>703</v>
      </c>
      <c r="J32" s="107" t="s">
        <v>27</v>
      </c>
      <c r="K32" s="6"/>
      <c r="L32" s="6"/>
      <c r="M32" s="6">
        <f>N32+O32+P32+Q32</f>
        <v>0</v>
      </c>
      <c r="N32" s="6"/>
      <c r="O32" s="6"/>
      <c r="P32" s="6"/>
      <c r="Q32" s="95"/>
      <c r="R32" s="107" t="s">
        <v>27</v>
      </c>
      <c r="S32" s="6">
        <v>13.5</v>
      </c>
      <c r="T32" s="6">
        <v>2286</v>
      </c>
      <c r="U32" s="6">
        <f>V32+W32+X32+Y32</f>
        <v>2057</v>
      </c>
      <c r="V32" s="6">
        <v>432</v>
      </c>
      <c r="W32" s="6">
        <v>831</v>
      </c>
      <c r="X32" s="6">
        <v>91</v>
      </c>
      <c r="Y32" s="95">
        <v>703</v>
      </c>
      <c r="Z32" s="1"/>
      <c r="AA32" s="107" t="s">
        <v>27</v>
      </c>
      <c r="AB32" s="6">
        <v>13.5</v>
      </c>
      <c r="AC32" s="6">
        <v>2286</v>
      </c>
      <c r="AD32" s="6">
        <f>AE32+AF32+AG32+AH32</f>
        <v>2057</v>
      </c>
      <c r="AE32" s="6">
        <v>432</v>
      </c>
      <c r="AF32" s="6">
        <v>831</v>
      </c>
      <c r="AG32" s="6">
        <v>91</v>
      </c>
      <c r="AH32" s="95">
        <v>703</v>
      </c>
      <c r="AI32" s="1"/>
      <c r="AJ32" s="107" t="s">
        <v>27</v>
      </c>
      <c r="AK32" s="27">
        <v>1</v>
      </c>
      <c r="AL32" s="6">
        <v>0</v>
      </c>
      <c r="AM32" s="6">
        <f>AN32+AO32+AP32+AQ32</f>
        <v>0</v>
      </c>
      <c r="AN32" s="6"/>
      <c r="AO32" s="6"/>
      <c r="AP32" s="6">
        <v>0</v>
      </c>
      <c r="AQ32" s="95">
        <v>0</v>
      </c>
    </row>
    <row r="33" spans="1:43" customFormat="1">
      <c r="A33" s="107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39"/>
        <v>0</v>
      </c>
      <c r="F33" s="6">
        <f t="shared" si="39"/>
        <v>0</v>
      </c>
      <c r="G33" s="6">
        <f t="shared" si="39"/>
        <v>0</v>
      </c>
      <c r="H33" s="95">
        <f t="shared" si="39"/>
        <v>0</v>
      </c>
      <c r="J33" s="107" t="s">
        <v>28</v>
      </c>
      <c r="K33" s="6"/>
      <c r="L33" s="6"/>
      <c r="M33" s="6">
        <f>N33+O33+P33+Q33</f>
        <v>0</v>
      </c>
      <c r="N33" s="6"/>
      <c r="O33" s="6"/>
      <c r="P33" s="6"/>
      <c r="Q33" s="95"/>
      <c r="R33" s="107" t="s">
        <v>28</v>
      </c>
      <c r="S33" s="6">
        <v>0</v>
      </c>
      <c r="T33" s="6">
        <v>0</v>
      </c>
      <c r="U33" s="6">
        <f>V33+W33+X33+Y33</f>
        <v>0</v>
      </c>
      <c r="V33" s="6">
        <v>0</v>
      </c>
      <c r="W33" s="6">
        <v>0</v>
      </c>
      <c r="X33" s="6">
        <v>0</v>
      </c>
      <c r="Y33" s="95">
        <v>0</v>
      </c>
      <c r="Z33" s="1"/>
      <c r="AA33" s="107" t="s">
        <v>28</v>
      </c>
      <c r="AB33" s="6">
        <v>0</v>
      </c>
      <c r="AC33" s="6">
        <v>0</v>
      </c>
      <c r="AD33" s="6">
        <f>AE33+AF33+AG33+AH33</f>
        <v>0</v>
      </c>
      <c r="AE33" s="6">
        <v>0</v>
      </c>
      <c r="AF33" s="6">
        <v>0</v>
      </c>
      <c r="AG33" s="6">
        <v>0</v>
      </c>
      <c r="AH33" s="95">
        <v>0</v>
      </c>
      <c r="AI33" s="1"/>
      <c r="AJ33" s="107" t="s">
        <v>28</v>
      </c>
      <c r="AK33" s="6"/>
      <c r="AL33" s="6"/>
      <c r="AM33" s="6">
        <f>AN33+AO33+AP33+AQ33</f>
        <v>0</v>
      </c>
      <c r="AN33" s="6"/>
      <c r="AO33" s="6"/>
      <c r="AP33" s="6"/>
      <c r="AQ33" s="95"/>
    </row>
    <row r="34" spans="1:43" customFormat="1">
      <c r="A34" s="107" t="s">
        <v>12</v>
      </c>
      <c r="B34" s="26">
        <f t="shared" ref="B34:H34" si="40">B33/B32*100</f>
        <v>0</v>
      </c>
      <c r="C34" s="26">
        <f t="shared" si="40"/>
        <v>0</v>
      </c>
      <c r="D34" s="26">
        <f t="shared" si="40"/>
        <v>0</v>
      </c>
      <c r="E34" s="26">
        <f t="shared" si="40"/>
        <v>0</v>
      </c>
      <c r="F34" s="26">
        <f t="shared" si="40"/>
        <v>0</v>
      </c>
      <c r="G34" s="26">
        <f t="shared" si="40"/>
        <v>0</v>
      </c>
      <c r="H34" s="96">
        <f t="shared" si="40"/>
        <v>0</v>
      </c>
      <c r="J34" s="107" t="s">
        <v>12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96">
        <v>0</v>
      </c>
      <c r="R34" s="107" t="s">
        <v>12</v>
      </c>
      <c r="S34" s="26">
        <f t="shared" ref="S34:Y34" si="41">S33/S32*100</f>
        <v>0</v>
      </c>
      <c r="T34" s="26">
        <f t="shared" si="41"/>
        <v>0</v>
      </c>
      <c r="U34" s="26">
        <f t="shared" si="41"/>
        <v>0</v>
      </c>
      <c r="V34" s="26">
        <f t="shared" si="41"/>
        <v>0</v>
      </c>
      <c r="W34" s="26">
        <f t="shared" si="41"/>
        <v>0</v>
      </c>
      <c r="X34" s="26">
        <f t="shared" si="41"/>
        <v>0</v>
      </c>
      <c r="Y34" s="96">
        <f t="shared" si="41"/>
        <v>0</v>
      </c>
      <c r="Z34" s="113"/>
      <c r="AA34" s="107" t="s">
        <v>12</v>
      </c>
      <c r="AB34" s="26">
        <f t="shared" ref="AB34:AH34" si="42">AB33/AB32*100</f>
        <v>0</v>
      </c>
      <c r="AC34" s="26">
        <f t="shared" si="42"/>
        <v>0</v>
      </c>
      <c r="AD34" s="26">
        <f t="shared" si="42"/>
        <v>0</v>
      </c>
      <c r="AE34" s="26">
        <f t="shared" si="42"/>
        <v>0</v>
      </c>
      <c r="AF34" s="26">
        <f t="shared" si="42"/>
        <v>0</v>
      </c>
      <c r="AG34" s="26">
        <f t="shared" si="42"/>
        <v>0</v>
      </c>
      <c r="AH34" s="96">
        <f t="shared" si="42"/>
        <v>0</v>
      </c>
      <c r="AI34" s="113"/>
      <c r="AJ34" s="107" t="s">
        <v>12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96">
        <v>0</v>
      </c>
    </row>
    <row r="35" spans="1:43" customFormat="1">
      <c r="A35" s="107" t="s">
        <v>29</v>
      </c>
      <c r="B35" s="6">
        <f>K35+S35+AK35</f>
        <v>121.30000000000001</v>
      </c>
      <c r="C35" s="6">
        <f>L35+T35+AL35</f>
        <v>11792</v>
      </c>
      <c r="D35" s="6">
        <f>E35+F35+G35+H35</f>
        <v>10029</v>
      </c>
      <c r="E35" s="6">
        <f t="shared" ref="E35:H36" si="43">N35+V35+AN35</f>
        <v>66</v>
      </c>
      <c r="F35" s="6">
        <f t="shared" si="43"/>
        <v>2890</v>
      </c>
      <c r="G35" s="6">
        <f t="shared" si="43"/>
        <v>606</v>
      </c>
      <c r="H35" s="95">
        <f t="shared" si="43"/>
        <v>6467</v>
      </c>
      <c r="J35" s="107" t="s">
        <v>29</v>
      </c>
      <c r="K35" s="6">
        <v>1.2</v>
      </c>
      <c r="L35" s="6">
        <v>92</v>
      </c>
      <c r="M35" s="6">
        <f>N35+O35+P35+Q35</f>
        <v>81</v>
      </c>
      <c r="N35" s="6">
        <v>1</v>
      </c>
      <c r="O35" s="6">
        <v>10</v>
      </c>
      <c r="P35" s="6">
        <v>10</v>
      </c>
      <c r="Q35" s="95">
        <v>60</v>
      </c>
      <c r="R35" s="107" t="s">
        <v>29</v>
      </c>
      <c r="S35" s="6">
        <v>119.4</v>
      </c>
      <c r="T35" s="6">
        <v>11660</v>
      </c>
      <c r="U35" s="6">
        <f>V35+W35+X35+Y35</f>
        <v>9916</v>
      </c>
      <c r="V35" s="6">
        <v>65</v>
      </c>
      <c r="W35" s="6">
        <v>2879</v>
      </c>
      <c r="X35" s="6">
        <v>596</v>
      </c>
      <c r="Y35" s="95">
        <v>6376</v>
      </c>
      <c r="Z35" s="1"/>
      <c r="AA35" s="107" t="s">
        <v>29</v>
      </c>
      <c r="AB35" s="6">
        <v>0.1</v>
      </c>
      <c r="AC35" s="6">
        <v>3</v>
      </c>
      <c r="AD35" s="6">
        <f>AE35+AF35+AG35+AH35</f>
        <v>2</v>
      </c>
      <c r="AE35" s="6"/>
      <c r="AF35" s="6">
        <v>1</v>
      </c>
      <c r="AG35" s="6"/>
      <c r="AH35" s="95">
        <v>1</v>
      </c>
      <c r="AI35" s="1"/>
      <c r="AJ35" s="107" t="s">
        <v>29</v>
      </c>
      <c r="AK35" s="6">
        <v>0.7</v>
      </c>
      <c r="AL35" s="6">
        <v>40</v>
      </c>
      <c r="AM35" s="6">
        <f>AN35+AO35+AP35+AQ35</f>
        <v>32</v>
      </c>
      <c r="AN35" s="6">
        <v>0</v>
      </c>
      <c r="AO35" s="6">
        <v>1</v>
      </c>
      <c r="AP35" s="6">
        <v>0</v>
      </c>
      <c r="AQ35" s="95">
        <v>31</v>
      </c>
    </row>
    <row r="36" spans="1:43" customFormat="1">
      <c r="A36" s="107" t="s">
        <v>30</v>
      </c>
      <c r="B36" s="6">
        <f>K36+S36+AK36</f>
        <v>121.4</v>
      </c>
      <c r="C36" s="6">
        <f>L36+T36+AL36</f>
        <v>11645</v>
      </c>
      <c r="D36" s="6">
        <f>E36+F36+G36+H36</f>
        <v>10210</v>
      </c>
      <c r="E36" s="6">
        <f t="shared" si="43"/>
        <v>97</v>
      </c>
      <c r="F36" s="6">
        <f t="shared" si="43"/>
        <v>2323</v>
      </c>
      <c r="G36" s="6">
        <f t="shared" si="43"/>
        <v>870</v>
      </c>
      <c r="H36" s="95">
        <f t="shared" si="43"/>
        <v>6920</v>
      </c>
      <c r="J36" s="107" t="s">
        <v>30</v>
      </c>
      <c r="K36" s="6">
        <v>0.7</v>
      </c>
      <c r="L36" s="6">
        <v>30</v>
      </c>
      <c r="M36" s="6">
        <f>N36+O36+P36+Q36</f>
        <v>25</v>
      </c>
      <c r="N36" s="6">
        <v>0</v>
      </c>
      <c r="O36" s="6">
        <v>8</v>
      </c>
      <c r="P36" s="6">
        <v>2</v>
      </c>
      <c r="Q36" s="95">
        <v>15</v>
      </c>
      <c r="R36" s="107" t="s">
        <v>30</v>
      </c>
      <c r="S36" s="27">
        <v>120.7</v>
      </c>
      <c r="T36" s="6">
        <v>11615</v>
      </c>
      <c r="U36" s="6">
        <f>V36+W36+X36+Y36</f>
        <v>10185</v>
      </c>
      <c r="V36" s="6">
        <v>97</v>
      </c>
      <c r="W36" s="6">
        <v>2315</v>
      </c>
      <c r="X36" s="6">
        <v>868</v>
      </c>
      <c r="Y36" s="95">
        <v>6905</v>
      </c>
      <c r="Z36" s="1"/>
      <c r="AA36" s="107" t="s">
        <v>30</v>
      </c>
      <c r="AB36" s="6">
        <v>0</v>
      </c>
      <c r="AC36" s="6">
        <v>0</v>
      </c>
      <c r="AD36" s="6">
        <f>AE36+AF36+AG36+AH36</f>
        <v>0</v>
      </c>
      <c r="AE36" s="6">
        <v>0</v>
      </c>
      <c r="AF36" s="6"/>
      <c r="AG36" s="6">
        <v>0</v>
      </c>
      <c r="AH36" s="95">
        <v>0</v>
      </c>
      <c r="AI36" s="1"/>
      <c r="AJ36" s="107" t="s">
        <v>30</v>
      </c>
      <c r="AK36" s="6"/>
      <c r="AL36" s="6">
        <v>0</v>
      </c>
      <c r="AM36" s="6">
        <f>AN36+AO36+AP36+AQ36</f>
        <v>0</v>
      </c>
      <c r="AN36" s="6"/>
      <c r="AO36" s="6"/>
      <c r="AP36" s="6">
        <v>0</v>
      </c>
      <c r="AQ36" s="95">
        <v>0</v>
      </c>
    </row>
    <row r="37" spans="1:43" customFormat="1">
      <c r="A37" s="107" t="s">
        <v>12</v>
      </c>
      <c r="B37" s="26">
        <f t="shared" ref="B37:H37" si="44">B36/B35*100</f>
        <v>100.08244023083263</v>
      </c>
      <c r="C37" s="26">
        <f t="shared" si="44"/>
        <v>98.753392130257794</v>
      </c>
      <c r="D37" s="26">
        <f t="shared" si="44"/>
        <v>101.80476617808355</v>
      </c>
      <c r="E37" s="26">
        <f t="shared" si="44"/>
        <v>146.96969696969697</v>
      </c>
      <c r="F37" s="26">
        <f t="shared" si="44"/>
        <v>80.38062283737024</v>
      </c>
      <c r="G37" s="26">
        <f t="shared" si="44"/>
        <v>143.56435643564356</v>
      </c>
      <c r="H37" s="96">
        <f t="shared" si="44"/>
        <v>107.00479356734189</v>
      </c>
      <c r="J37" s="107" t="s">
        <v>12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96">
        <v>0</v>
      </c>
      <c r="R37" s="107" t="s">
        <v>12</v>
      </c>
      <c r="S37" s="26">
        <f t="shared" ref="S37:Y37" si="45">S36/S35*100</f>
        <v>101.08877721943048</v>
      </c>
      <c r="T37" s="26">
        <f t="shared" si="45"/>
        <v>99.614065180102912</v>
      </c>
      <c r="U37" s="26">
        <f t="shared" si="45"/>
        <v>102.71278741427996</v>
      </c>
      <c r="V37" s="26">
        <f t="shared" si="45"/>
        <v>149.23076923076923</v>
      </c>
      <c r="W37" s="26">
        <f t="shared" si="45"/>
        <v>80.40986453629732</v>
      </c>
      <c r="X37" s="26">
        <f t="shared" si="45"/>
        <v>145.63758389261744</v>
      </c>
      <c r="Y37" s="96">
        <f t="shared" si="45"/>
        <v>108.29673776662486</v>
      </c>
      <c r="Z37" s="113"/>
      <c r="AA37" s="107" t="s">
        <v>12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96">
        <v>0</v>
      </c>
      <c r="AI37" s="113"/>
      <c r="AJ37" s="107" t="s">
        <v>12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96">
        <v>0</v>
      </c>
    </row>
    <row r="38" spans="1:43" customFormat="1">
      <c r="A38" s="107" t="s">
        <v>31</v>
      </c>
      <c r="B38" s="27">
        <f>K38+S38+AK38</f>
        <v>340.3</v>
      </c>
      <c r="C38" s="6">
        <f>L38+T38+AL38</f>
        <v>18293</v>
      </c>
      <c r="D38" s="6">
        <f>E38+F38+G38+H38</f>
        <v>15513</v>
      </c>
      <c r="E38" s="6">
        <f t="shared" ref="E38:H39" si="46">N38+V38+AN38</f>
        <v>2726</v>
      </c>
      <c r="F38" s="6">
        <f t="shared" si="46"/>
        <v>4101</v>
      </c>
      <c r="G38" s="6">
        <f t="shared" si="46"/>
        <v>613</v>
      </c>
      <c r="H38" s="95">
        <f t="shared" si="46"/>
        <v>8073</v>
      </c>
      <c r="J38" s="107" t="s">
        <v>31</v>
      </c>
      <c r="K38" s="27">
        <v>156</v>
      </c>
      <c r="L38" s="6">
        <v>5725</v>
      </c>
      <c r="M38" s="6">
        <f>N38+O38+P38+Q38</f>
        <v>4714</v>
      </c>
      <c r="N38" s="6">
        <v>367</v>
      </c>
      <c r="O38" s="6">
        <v>1746</v>
      </c>
      <c r="P38" s="6">
        <v>301</v>
      </c>
      <c r="Q38" s="95">
        <v>2300</v>
      </c>
      <c r="R38" s="107" t="s">
        <v>31</v>
      </c>
      <c r="S38" s="27">
        <v>168.5</v>
      </c>
      <c r="T38" s="6">
        <v>12102</v>
      </c>
      <c r="U38" s="6">
        <f>V38+W38+X38+Y38</f>
        <v>10411</v>
      </c>
      <c r="V38" s="6">
        <v>2345</v>
      </c>
      <c r="W38" s="6">
        <v>2276</v>
      </c>
      <c r="X38" s="6">
        <v>300</v>
      </c>
      <c r="Y38" s="95">
        <v>5490</v>
      </c>
      <c r="Z38" s="1"/>
      <c r="AA38" s="107" t="s">
        <v>31</v>
      </c>
      <c r="AB38" s="6">
        <v>102.4</v>
      </c>
      <c r="AC38" s="6">
        <v>8295</v>
      </c>
      <c r="AD38" s="6">
        <f>AE38+AF38+AG38+AH38</f>
        <v>7091</v>
      </c>
      <c r="AE38" s="6">
        <v>2145</v>
      </c>
      <c r="AF38" s="6">
        <v>1505</v>
      </c>
      <c r="AG38" s="6">
        <v>167</v>
      </c>
      <c r="AH38" s="95">
        <v>3274</v>
      </c>
      <c r="AI38" s="1"/>
      <c r="AJ38" s="107" t="s">
        <v>31</v>
      </c>
      <c r="AK38" s="6">
        <v>15.8</v>
      </c>
      <c r="AL38" s="6">
        <v>466</v>
      </c>
      <c r="AM38" s="6">
        <f>AN38+AO38+AP38+AQ38</f>
        <v>388</v>
      </c>
      <c r="AN38" s="6">
        <v>14</v>
      </c>
      <c r="AO38" s="6">
        <v>79</v>
      </c>
      <c r="AP38" s="6">
        <v>12</v>
      </c>
      <c r="AQ38" s="95">
        <v>283</v>
      </c>
    </row>
    <row r="39" spans="1:43" customFormat="1">
      <c r="A39" s="107" t="s">
        <v>32</v>
      </c>
      <c r="B39" s="27">
        <f>K39+S39+AK39</f>
        <v>302.3</v>
      </c>
      <c r="C39" s="6">
        <f>L39+T39+AL39</f>
        <v>17820</v>
      </c>
      <c r="D39" s="6">
        <f>E39+F39+G39+H39</f>
        <v>14856</v>
      </c>
      <c r="E39" s="6">
        <f t="shared" si="46"/>
        <v>1135</v>
      </c>
      <c r="F39" s="6">
        <f t="shared" si="46"/>
        <v>4320</v>
      </c>
      <c r="G39" s="6">
        <f t="shared" si="46"/>
        <v>1019</v>
      </c>
      <c r="H39" s="95">
        <f t="shared" si="46"/>
        <v>8382</v>
      </c>
      <c r="J39" s="107" t="s">
        <v>32</v>
      </c>
      <c r="K39" s="27">
        <v>194.4</v>
      </c>
      <c r="L39" s="6">
        <v>10250</v>
      </c>
      <c r="M39" s="6">
        <f>Q39+P39+O39+N39</f>
        <v>8341</v>
      </c>
      <c r="N39" s="6">
        <v>416</v>
      </c>
      <c r="O39" s="6">
        <v>2845</v>
      </c>
      <c r="P39" s="6">
        <v>705</v>
      </c>
      <c r="Q39" s="95">
        <v>4375</v>
      </c>
      <c r="R39" s="107" t="s">
        <v>32</v>
      </c>
      <c r="S39" s="27">
        <v>107.9</v>
      </c>
      <c r="T39" s="6">
        <v>7570</v>
      </c>
      <c r="U39" s="6">
        <f>V39+W39+X39+Y39</f>
        <v>6515</v>
      </c>
      <c r="V39" s="6">
        <v>719</v>
      </c>
      <c r="W39" s="6">
        <v>1475</v>
      </c>
      <c r="X39" s="6">
        <v>314</v>
      </c>
      <c r="Y39" s="95">
        <v>4007</v>
      </c>
      <c r="Z39" s="1"/>
      <c r="AA39" s="107" t="s">
        <v>32</v>
      </c>
      <c r="AB39" s="27">
        <v>59.3</v>
      </c>
      <c r="AC39" s="6">
        <v>4800</v>
      </c>
      <c r="AD39" s="6">
        <f>AE39+AF39+AG39+AH39</f>
        <v>4181</v>
      </c>
      <c r="AE39" s="6">
        <v>597</v>
      </c>
      <c r="AF39" s="6">
        <v>954</v>
      </c>
      <c r="AG39" s="6">
        <v>230</v>
      </c>
      <c r="AH39" s="95">
        <v>2400</v>
      </c>
      <c r="AI39" s="1"/>
      <c r="AJ39" s="107" t="s">
        <v>32</v>
      </c>
      <c r="AK39" s="27">
        <v>0</v>
      </c>
      <c r="AL39" s="6">
        <v>0</v>
      </c>
      <c r="AM39" s="6">
        <f>AN39+AO39+AP39+AQ39</f>
        <v>0</v>
      </c>
      <c r="AN39" s="6"/>
      <c r="AO39" s="6">
        <v>0</v>
      </c>
      <c r="AP39" s="6">
        <v>0</v>
      </c>
      <c r="AQ39" s="95">
        <v>0</v>
      </c>
    </row>
    <row r="40" spans="1:43" customFormat="1" ht="13.8" thickBot="1">
      <c r="A40" s="108" t="s">
        <v>12</v>
      </c>
      <c r="B40" s="78">
        <f t="shared" ref="B40:H40" si="47">B39/B38*100</f>
        <v>88.833382309726716</v>
      </c>
      <c r="C40" s="78">
        <f t="shared" si="47"/>
        <v>97.414311485267589</v>
      </c>
      <c r="D40" s="78">
        <f t="shared" si="47"/>
        <v>95.764842390253335</v>
      </c>
      <c r="E40" s="78">
        <f t="shared" si="47"/>
        <v>41.636096845194423</v>
      </c>
      <c r="F40" s="78">
        <f t="shared" si="47"/>
        <v>105.34016093635698</v>
      </c>
      <c r="G40" s="78">
        <f t="shared" si="47"/>
        <v>166.23164763458402</v>
      </c>
      <c r="H40" s="97">
        <f t="shared" si="47"/>
        <v>103.82757339279078</v>
      </c>
      <c r="J40" s="108" t="s">
        <v>12</v>
      </c>
      <c r="K40" s="78">
        <f t="shared" ref="K40:Q40" si="48">K39/K38*100</f>
        <v>124.61538461538461</v>
      </c>
      <c r="L40" s="78">
        <f t="shared" si="48"/>
        <v>179.03930131004367</v>
      </c>
      <c r="M40" s="78">
        <f t="shared" si="48"/>
        <v>176.94102672889267</v>
      </c>
      <c r="N40" s="78">
        <f t="shared" si="48"/>
        <v>113.35149863760219</v>
      </c>
      <c r="O40" s="78">
        <f t="shared" si="48"/>
        <v>162.9438717067583</v>
      </c>
      <c r="P40" s="78">
        <f t="shared" si="48"/>
        <v>234.21926910299001</v>
      </c>
      <c r="Q40" s="97">
        <f t="shared" si="48"/>
        <v>190.21739130434781</v>
      </c>
      <c r="R40" s="108" t="s">
        <v>12</v>
      </c>
      <c r="S40" s="78">
        <f t="shared" ref="S40:Y40" si="49">S39/S38*100</f>
        <v>64.035608308605347</v>
      </c>
      <c r="T40" s="78">
        <f t="shared" si="49"/>
        <v>62.551644356304749</v>
      </c>
      <c r="U40" s="78">
        <f t="shared" si="49"/>
        <v>62.57804245509557</v>
      </c>
      <c r="V40" s="78">
        <f t="shared" si="49"/>
        <v>30.660980810234541</v>
      </c>
      <c r="W40" s="78">
        <f t="shared" si="49"/>
        <v>64.806678383128286</v>
      </c>
      <c r="X40" s="78">
        <f t="shared" si="49"/>
        <v>104.66666666666666</v>
      </c>
      <c r="Y40" s="97">
        <f t="shared" si="49"/>
        <v>72.987249544626593</v>
      </c>
      <c r="Z40" s="113"/>
      <c r="AA40" s="108" t="s">
        <v>12</v>
      </c>
      <c r="AB40" s="383">
        <f>AB39/AB38*100</f>
        <v>57.910156249999986</v>
      </c>
      <c r="AC40" s="78">
        <f t="shared" ref="AC40:AH40" si="50">AC39/AC38*100</f>
        <v>57.866184448462931</v>
      </c>
      <c r="AD40" s="78">
        <f t="shared" si="50"/>
        <v>58.962064588915531</v>
      </c>
      <c r="AE40" s="78">
        <f t="shared" si="50"/>
        <v>27.83216783216783</v>
      </c>
      <c r="AF40" s="78">
        <f t="shared" si="50"/>
        <v>63.388704318936874</v>
      </c>
      <c r="AG40" s="78">
        <f t="shared" si="50"/>
        <v>137.7245508982036</v>
      </c>
      <c r="AH40" s="97">
        <f t="shared" si="50"/>
        <v>73.304825901038484</v>
      </c>
      <c r="AI40" s="113"/>
      <c r="AJ40" s="108" t="s">
        <v>12</v>
      </c>
      <c r="AK40" s="78">
        <f>AK39/AK38*100</f>
        <v>0</v>
      </c>
      <c r="AL40" s="78">
        <f>AL39/AL38*100</f>
        <v>0</v>
      </c>
      <c r="AM40" s="78">
        <f>AM39/AM38*100</f>
        <v>0</v>
      </c>
      <c r="AN40" s="78">
        <v>0</v>
      </c>
      <c r="AO40" s="78">
        <f>AO39/AO38*100</f>
        <v>0</v>
      </c>
      <c r="AP40" s="78">
        <f>AP39/AP38*100</f>
        <v>0</v>
      </c>
      <c r="AQ40" s="97">
        <f>AQ39/AQ38*100</f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37" t="s">
        <v>49</v>
      </c>
      <c r="B42" s="14"/>
      <c r="C42" s="14"/>
      <c r="D42" s="14"/>
      <c r="E42" s="14"/>
      <c r="F42" s="14"/>
      <c r="G42" s="14"/>
      <c r="H42" s="14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7" t="s">
        <v>17</v>
      </c>
      <c r="B45" s="210"/>
      <c r="C45" s="211"/>
      <c r="D45" s="210"/>
      <c r="E45" s="210"/>
      <c r="F45" s="210"/>
      <c r="G45" s="210"/>
      <c r="H45" s="212"/>
    </row>
    <row r="46" spans="1:43">
      <c r="A46" s="75" t="s">
        <v>40</v>
      </c>
      <c r="B46" s="213">
        <f t="shared" ref="B46:H47" si="51">K9+S9+AK9</f>
        <v>970.69999999999993</v>
      </c>
      <c r="C46" s="213">
        <f t="shared" si="51"/>
        <v>50860</v>
      </c>
      <c r="D46" s="213">
        <f t="shared" si="51"/>
        <v>44082</v>
      </c>
      <c r="E46" s="213">
        <f t="shared" si="51"/>
        <v>4072</v>
      </c>
      <c r="F46" s="213">
        <f t="shared" si="51"/>
        <v>10751</v>
      </c>
      <c r="G46" s="213">
        <f t="shared" si="51"/>
        <v>1892</v>
      </c>
      <c r="H46" s="213">
        <f t="shared" si="51"/>
        <v>27367</v>
      </c>
    </row>
    <row r="47" spans="1:43">
      <c r="A47" s="214" t="s">
        <v>50</v>
      </c>
      <c r="B47" s="213">
        <f t="shared" si="51"/>
        <v>867.89999999999986</v>
      </c>
      <c r="C47" s="213">
        <f t="shared" si="51"/>
        <v>48355</v>
      </c>
      <c r="D47" s="213">
        <f t="shared" si="51"/>
        <v>42028</v>
      </c>
      <c r="E47" s="213">
        <f t="shared" si="51"/>
        <v>2255</v>
      </c>
      <c r="F47" s="213">
        <f t="shared" si="51"/>
        <v>9702</v>
      </c>
      <c r="G47" s="213">
        <f t="shared" si="51"/>
        <v>2846</v>
      </c>
      <c r="H47" s="213">
        <f t="shared" si="51"/>
        <v>27225</v>
      </c>
    </row>
    <row r="48" spans="1:43">
      <c r="A48" s="215" t="s">
        <v>44</v>
      </c>
      <c r="B48" s="216">
        <f>B47/B46*100</f>
        <v>89.40970433707632</v>
      </c>
      <c r="C48" s="216">
        <f t="shared" ref="C48:H48" si="52">C47/C46*100</f>
        <v>95.074714903657096</v>
      </c>
      <c r="D48" s="216">
        <f t="shared" si="52"/>
        <v>95.340501792114694</v>
      </c>
      <c r="E48" s="216">
        <f t="shared" si="52"/>
        <v>55.378192534381142</v>
      </c>
      <c r="F48" s="216">
        <f t="shared" si="52"/>
        <v>90.242768114594</v>
      </c>
      <c r="G48" s="216">
        <f t="shared" si="52"/>
        <v>150.42283298097252</v>
      </c>
      <c r="H48" s="216">
        <f t="shared" si="52"/>
        <v>99.481126904666212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53">K13+S13+AK13</f>
        <v>1.5</v>
      </c>
      <c r="C50" s="90">
        <f t="shared" si="53"/>
        <v>75</v>
      </c>
      <c r="D50" s="90">
        <f t="shared" si="53"/>
        <v>59</v>
      </c>
      <c r="E50" s="90">
        <f t="shared" si="53"/>
        <v>2</v>
      </c>
      <c r="F50" s="90">
        <f t="shared" si="53"/>
        <v>14</v>
      </c>
      <c r="G50" s="90">
        <f t="shared" si="53"/>
        <v>4</v>
      </c>
      <c r="H50" s="90">
        <f t="shared" si="53"/>
        <v>39</v>
      </c>
    </row>
    <row r="51" spans="1:8">
      <c r="A51" s="75" t="s">
        <v>50</v>
      </c>
      <c r="B51" s="90">
        <f t="shared" si="53"/>
        <v>0</v>
      </c>
      <c r="C51" s="90">
        <f t="shared" si="53"/>
        <v>0</v>
      </c>
      <c r="D51" s="90">
        <f t="shared" si="53"/>
        <v>0</v>
      </c>
      <c r="E51" s="90">
        <f t="shared" si="53"/>
        <v>0</v>
      </c>
      <c r="F51" s="90">
        <f t="shared" si="53"/>
        <v>0</v>
      </c>
      <c r="G51" s="90">
        <f t="shared" si="53"/>
        <v>0</v>
      </c>
      <c r="H51" s="90">
        <f t="shared" si="53"/>
        <v>0</v>
      </c>
    </row>
    <row r="52" spans="1:8">
      <c r="A52" s="75" t="s">
        <v>44</v>
      </c>
      <c r="B52" s="217">
        <f t="shared" ref="B52:H52" si="54">B51/B50*100</f>
        <v>0</v>
      </c>
      <c r="C52" s="217">
        <f t="shared" si="54"/>
        <v>0</v>
      </c>
      <c r="D52" s="217">
        <f t="shared" si="54"/>
        <v>0</v>
      </c>
      <c r="E52" s="217">
        <f t="shared" si="54"/>
        <v>0</v>
      </c>
      <c r="F52" s="217">
        <f t="shared" si="54"/>
        <v>0</v>
      </c>
      <c r="G52" s="217">
        <f t="shared" si="54"/>
        <v>0</v>
      </c>
      <c r="H52" s="217">
        <f t="shared" si="54"/>
        <v>0</v>
      </c>
    </row>
    <row r="53" spans="1:8">
      <c r="A53" s="75" t="s">
        <v>13</v>
      </c>
      <c r="B53" s="90">
        <f t="shared" ref="B53:H55" si="55">K16+S16+AK16</f>
        <v>0</v>
      </c>
      <c r="C53" s="90">
        <f t="shared" si="55"/>
        <v>0</v>
      </c>
      <c r="D53" s="90">
        <f t="shared" si="55"/>
        <v>0</v>
      </c>
      <c r="E53" s="90">
        <f t="shared" si="55"/>
        <v>0</v>
      </c>
      <c r="F53" s="90">
        <f t="shared" si="55"/>
        <v>0</v>
      </c>
      <c r="G53" s="90">
        <f t="shared" si="55"/>
        <v>0</v>
      </c>
      <c r="H53" s="90">
        <f t="shared" si="55"/>
        <v>0</v>
      </c>
    </row>
    <row r="54" spans="1:8">
      <c r="A54" s="92" t="s">
        <v>14</v>
      </c>
      <c r="B54" s="90">
        <f t="shared" si="55"/>
        <v>0</v>
      </c>
      <c r="C54" s="90">
        <f t="shared" si="55"/>
        <v>0</v>
      </c>
      <c r="D54" s="90">
        <f t="shared" si="55"/>
        <v>0</v>
      </c>
      <c r="E54" s="90">
        <f t="shared" si="55"/>
        <v>0</v>
      </c>
      <c r="F54" s="90">
        <f t="shared" si="55"/>
        <v>0</v>
      </c>
      <c r="G54" s="90">
        <f t="shared" si="55"/>
        <v>0</v>
      </c>
      <c r="H54" s="90">
        <f t="shared" si="55"/>
        <v>0</v>
      </c>
    </row>
    <row r="55" spans="1:8">
      <c r="A55" s="75" t="s">
        <v>15</v>
      </c>
      <c r="B55" s="90">
        <f t="shared" si="55"/>
        <v>0</v>
      </c>
      <c r="C55" s="90">
        <f t="shared" si="55"/>
        <v>0</v>
      </c>
      <c r="D55" s="90">
        <f t="shared" si="55"/>
        <v>0</v>
      </c>
      <c r="E55" s="90">
        <f t="shared" si="55"/>
        <v>0</v>
      </c>
      <c r="F55" s="90">
        <f t="shared" si="55"/>
        <v>0</v>
      </c>
      <c r="G55" s="90">
        <f t="shared" si="55"/>
        <v>0</v>
      </c>
      <c r="H55" s="90">
        <f t="shared" si="55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56">K20+S20+AK20</f>
        <v>969.19999999999993</v>
      </c>
      <c r="C57" s="90">
        <f t="shared" si="56"/>
        <v>50785</v>
      </c>
      <c r="D57" s="90">
        <f t="shared" si="56"/>
        <v>44023</v>
      </c>
      <c r="E57" s="90">
        <f t="shared" si="56"/>
        <v>4070</v>
      </c>
      <c r="F57" s="90">
        <f t="shared" si="56"/>
        <v>10737</v>
      </c>
      <c r="G57" s="90">
        <f t="shared" si="56"/>
        <v>1888</v>
      </c>
      <c r="H57" s="90">
        <f t="shared" si="56"/>
        <v>27328</v>
      </c>
    </row>
    <row r="58" spans="1:8">
      <c r="A58" s="92" t="s">
        <v>50</v>
      </c>
      <c r="B58" s="90">
        <f t="shared" si="56"/>
        <v>867.89999999999986</v>
      </c>
      <c r="C58" s="90">
        <f t="shared" si="56"/>
        <v>48355</v>
      </c>
      <c r="D58" s="90">
        <f t="shared" si="56"/>
        <v>42028</v>
      </c>
      <c r="E58" s="90">
        <f t="shared" si="56"/>
        <v>2255</v>
      </c>
      <c r="F58" s="90">
        <f t="shared" si="56"/>
        <v>9702</v>
      </c>
      <c r="G58" s="90">
        <f t="shared" si="56"/>
        <v>2846</v>
      </c>
      <c r="H58" s="90">
        <f t="shared" si="56"/>
        <v>27225</v>
      </c>
    </row>
    <row r="59" spans="1:8">
      <c r="A59" s="75" t="s">
        <v>44</v>
      </c>
      <c r="B59" s="217">
        <f t="shared" ref="B59:H59" si="57">B58/B57*100</f>
        <v>89.548080891456863</v>
      </c>
      <c r="C59" s="217">
        <f t="shared" si="57"/>
        <v>95.215122575563655</v>
      </c>
      <c r="D59" s="217">
        <f t="shared" si="57"/>
        <v>95.468277945619334</v>
      </c>
      <c r="E59" s="217">
        <f t="shared" si="57"/>
        <v>55.405405405405403</v>
      </c>
      <c r="F59" s="217">
        <f t="shared" si="57"/>
        <v>90.360435875942997</v>
      </c>
      <c r="G59" s="217">
        <f t="shared" si="57"/>
        <v>150.7415254237288</v>
      </c>
      <c r="H59" s="217">
        <f t="shared" si="57"/>
        <v>99.623097189695557</v>
      </c>
    </row>
    <row r="60" spans="1:8">
      <c r="A60" s="75" t="s">
        <v>21</v>
      </c>
      <c r="B60" s="90">
        <f t="shared" ref="B60:H61" si="58">K23+S23+AK23</f>
        <v>0</v>
      </c>
      <c r="C60" s="90">
        <f t="shared" si="58"/>
        <v>0</v>
      </c>
      <c r="D60" s="90">
        <f t="shared" si="58"/>
        <v>0</v>
      </c>
      <c r="E60" s="90">
        <f t="shared" si="58"/>
        <v>0</v>
      </c>
      <c r="F60" s="90">
        <f t="shared" si="58"/>
        <v>0</v>
      </c>
      <c r="G60" s="90">
        <f t="shared" si="58"/>
        <v>0</v>
      </c>
      <c r="H60" s="90">
        <f t="shared" si="58"/>
        <v>0</v>
      </c>
    </row>
    <row r="61" spans="1:8">
      <c r="A61" s="75" t="s">
        <v>51</v>
      </c>
      <c r="B61" s="90">
        <f t="shared" si="58"/>
        <v>0</v>
      </c>
      <c r="C61" s="90">
        <f t="shared" si="58"/>
        <v>0</v>
      </c>
      <c r="D61" s="90">
        <f t="shared" si="58"/>
        <v>0</v>
      </c>
      <c r="E61" s="90">
        <f t="shared" si="58"/>
        <v>0</v>
      </c>
      <c r="F61" s="90">
        <f t="shared" si="58"/>
        <v>0</v>
      </c>
      <c r="G61" s="90">
        <f t="shared" si="58"/>
        <v>0</v>
      </c>
      <c r="H61" s="90">
        <f t="shared" si="58"/>
        <v>0</v>
      </c>
    </row>
    <row r="62" spans="1:8">
      <c r="A62" s="75" t="s">
        <v>12</v>
      </c>
      <c r="B62" s="217" t="e">
        <f t="shared" ref="B62:H62" si="59">B61/B60*100</f>
        <v>#DIV/0!</v>
      </c>
      <c r="C62" s="217" t="e">
        <f t="shared" si="59"/>
        <v>#DIV/0!</v>
      </c>
      <c r="D62" s="217" t="e">
        <f t="shared" si="59"/>
        <v>#DIV/0!</v>
      </c>
      <c r="E62" s="217" t="e">
        <f t="shared" si="59"/>
        <v>#DIV/0!</v>
      </c>
      <c r="F62" s="217" t="e">
        <f t="shared" si="59"/>
        <v>#DIV/0!</v>
      </c>
      <c r="G62" s="217" t="e">
        <f t="shared" si="59"/>
        <v>#DIV/0!</v>
      </c>
      <c r="H62" s="217" t="e">
        <f t="shared" si="59"/>
        <v>#DIV/0!</v>
      </c>
    </row>
    <row r="63" spans="1:8">
      <c r="A63" s="75" t="s">
        <v>23</v>
      </c>
      <c r="B63" s="90">
        <f t="shared" ref="B63:H64" si="60">K26+S26+AK26</f>
        <v>77.900000000000006</v>
      </c>
      <c r="C63" s="90">
        <f t="shared" si="60"/>
        <v>3119</v>
      </c>
      <c r="D63" s="90">
        <f t="shared" si="60"/>
        <v>2744</v>
      </c>
      <c r="E63" s="90">
        <f t="shared" si="60"/>
        <v>158</v>
      </c>
      <c r="F63" s="90">
        <f t="shared" si="60"/>
        <v>675</v>
      </c>
      <c r="G63" s="90">
        <f t="shared" si="60"/>
        <v>97</v>
      </c>
      <c r="H63" s="90">
        <f t="shared" si="60"/>
        <v>1814</v>
      </c>
    </row>
    <row r="64" spans="1:8">
      <c r="A64" s="75" t="s">
        <v>45</v>
      </c>
      <c r="B64" s="90">
        <f t="shared" si="60"/>
        <v>100</v>
      </c>
      <c r="C64" s="90">
        <f t="shared" si="60"/>
        <v>5750</v>
      </c>
      <c r="D64" s="90">
        <f t="shared" si="60"/>
        <v>4979</v>
      </c>
      <c r="E64" s="90">
        <f t="shared" si="60"/>
        <v>390</v>
      </c>
      <c r="F64" s="90">
        <f t="shared" si="60"/>
        <v>1428</v>
      </c>
      <c r="G64" s="90">
        <f t="shared" si="60"/>
        <v>276</v>
      </c>
      <c r="H64" s="90">
        <f t="shared" si="60"/>
        <v>2885</v>
      </c>
    </row>
    <row r="65" spans="1:8">
      <c r="A65" s="75" t="s">
        <v>12</v>
      </c>
      <c r="B65" s="217">
        <f t="shared" ref="B65:H65" si="61">B64/B63*100</f>
        <v>128.36970474967904</v>
      </c>
      <c r="C65" s="217">
        <f t="shared" si="61"/>
        <v>184.35395960243667</v>
      </c>
      <c r="D65" s="217">
        <f t="shared" si="61"/>
        <v>181.45043731778426</v>
      </c>
      <c r="E65" s="217">
        <f t="shared" si="61"/>
        <v>246.83544303797467</v>
      </c>
      <c r="F65" s="217">
        <f t="shared" si="61"/>
        <v>211.55555555555554</v>
      </c>
      <c r="G65" s="217">
        <f t="shared" si="61"/>
        <v>284.53608247422682</v>
      </c>
      <c r="H65" s="217">
        <f t="shared" si="61"/>
        <v>159.04079382579934</v>
      </c>
    </row>
    <row r="66" spans="1:8">
      <c r="A66" s="75" t="s">
        <v>25</v>
      </c>
      <c r="B66" s="90">
        <f t="shared" ref="B66:H67" si="62">K29+S29+AK29</f>
        <v>415.19999999999993</v>
      </c>
      <c r="C66" s="90">
        <f t="shared" si="62"/>
        <v>15295</v>
      </c>
      <c r="D66" s="90">
        <f t="shared" si="62"/>
        <v>13680</v>
      </c>
      <c r="E66" s="90">
        <f t="shared" si="62"/>
        <v>688</v>
      </c>
      <c r="F66" s="90">
        <f t="shared" si="62"/>
        <v>2240</v>
      </c>
      <c r="G66" s="90">
        <f t="shared" si="62"/>
        <v>481</v>
      </c>
      <c r="H66" s="90">
        <f t="shared" si="62"/>
        <v>10271</v>
      </c>
    </row>
    <row r="67" spans="1:8">
      <c r="A67" s="75" t="s">
        <v>46</v>
      </c>
      <c r="B67" s="90">
        <f t="shared" si="62"/>
        <v>344.2</v>
      </c>
      <c r="C67" s="90">
        <f t="shared" si="62"/>
        <v>13140</v>
      </c>
      <c r="D67" s="90">
        <f t="shared" si="62"/>
        <v>11983</v>
      </c>
      <c r="E67" s="90">
        <f t="shared" si="62"/>
        <v>633</v>
      </c>
      <c r="F67" s="90">
        <f t="shared" si="62"/>
        <v>1631</v>
      </c>
      <c r="G67" s="90">
        <f t="shared" si="62"/>
        <v>681</v>
      </c>
      <c r="H67" s="90">
        <f t="shared" si="62"/>
        <v>9038</v>
      </c>
    </row>
    <row r="68" spans="1:8">
      <c r="A68" s="75" t="s">
        <v>12</v>
      </c>
      <c r="B68" s="217">
        <f t="shared" ref="B68:H68" si="63">B67/B66*100</f>
        <v>82.899807321772656</v>
      </c>
      <c r="C68" s="217">
        <f t="shared" si="63"/>
        <v>85.910428244524354</v>
      </c>
      <c r="D68" s="217">
        <f t="shared" si="63"/>
        <v>87.595029239766092</v>
      </c>
      <c r="E68" s="217">
        <f t="shared" si="63"/>
        <v>92.005813953488371</v>
      </c>
      <c r="F68" s="217">
        <f t="shared" si="63"/>
        <v>72.8125</v>
      </c>
      <c r="G68" s="217">
        <f t="shared" si="63"/>
        <v>141.58004158004158</v>
      </c>
      <c r="H68" s="217">
        <f t="shared" si="63"/>
        <v>87.995326647843441</v>
      </c>
    </row>
    <row r="69" spans="1:8">
      <c r="A69" s="75" t="s">
        <v>27</v>
      </c>
      <c r="B69" s="90">
        <f t="shared" ref="B69:H70" si="64">K32+S32+AK32</f>
        <v>14.5</v>
      </c>
      <c r="C69" s="90">
        <f t="shared" si="64"/>
        <v>2286</v>
      </c>
      <c r="D69" s="90">
        <f t="shared" si="64"/>
        <v>2057</v>
      </c>
      <c r="E69" s="90">
        <f t="shared" si="64"/>
        <v>432</v>
      </c>
      <c r="F69" s="90">
        <f t="shared" si="64"/>
        <v>831</v>
      </c>
      <c r="G69" s="90">
        <f t="shared" si="64"/>
        <v>91</v>
      </c>
      <c r="H69" s="90">
        <f t="shared" si="64"/>
        <v>703</v>
      </c>
    </row>
    <row r="70" spans="1:8">
      <c r="A70" s="75" t="s">
        <v>47</v>
      </c>
      <c r="B70" s="90">
        <f t="shared" si="64"/>
        <v>0</v>
      </c>
      <c r="C70" s="90">
        <f t="shared" si="64"/>
        <v>0</v>
      </c>
      <c r="D70" s="90">
        <f t="shared" si="64"/>
        <v>0</v>
      </c>
      <c r="E70" s="90">
        <f t="shared" si="64"/>
        <v>0</v>
      </c>
      <c r="F70" s="90">
        <f t="shared" si="64"/>
        <v>0</v>
      </c>
      <c r="G70" s="90">
        <f t="shared" si="64"/>
        <v>0</v>
      </c>
      <c r="H70" s="90">
        <f t="shared" si="64"/>
        <v>0</v>
      </c>
    </row>
    <row r="71" spans="1:8">
      <c r="A71" s="75" t="s">
        <v>12</v>
      </c>
      <c r="B71" s="217">
        <f t="shared" ref="B71:H71" si="65">B70/B69*100</f>
        <v>0</v>
      </c>
      <c r="C71" s="217">
        <f t="shared" si="65"/>
        <v>0</v>
      </c>
      <c r="D71" s="217">
        <f t="shared" si="65"/>
        <v>0</v>
      </c>
      <c r="E71" s="217">
        <f t="shared" si="65"/>
        <v>0</v>
      </c>
      <c r="F71" s="217">
        <f t="shared" si="65"/>
        <v>0</v>
      </c>
      <c r="G71" s="217">
        <f t="shared" si="65"/>
        <v>0</v>
      </c>
      <c r="H71" s="217">
        <f t="shared" si="65"/>
        <v>0</v>
      </c>
    </row>
    <row r="72" spans="1:8">
      <c r="A72" s="75" t="s">
        <v>29</v>
      </c>
      <c r="B72" s="90">
        <f t="shared" ref="B72:H73" si="66">K35+S35+AK35</f>
        <v>121.30000000000001</v>
      </c>
      <c r="C72" s="90">
        <f t="shared" si="66"/>
        <v>11792</v>
      </c>
      <c r="D72" s="90">
        <f t="shared" si="66"/>
        <v>10029</v>
      </c>
      <c r="E72" s="90">
        <f t="shared" si="66"/>
        <v>66</v>
      </c>
      <c r="F72" s="90">
        <f t="shared" si="66"/>
        <v>2890</v>
      </c>
      <c r="G72" s="90">
        <f t="shared" si="66"/>
        <v>606</v>
      </c>
      <c r="H72" s="90">
        <f t="shared" si="66"/>
        <v>6467</v>
      </c>
    </row>
    <row r="73" spans="1:8">
      <c r="A73" s="75" t="s">
        <v>48</v>
      </c>
      <c r="B73" s="90">
        <f t="shared" si="66"/>
        <v>121.4</v>
      </c>
      <c r="C73" s="90">
        <f t="shared" si="66"/>
        <v>11645</v>
      </c>
      <c r="D73" s="90">
        <f t="shared" si="66"/>
        <v>10210</v>
      </c>
      <c r="E73" s="90">
        <f t="shared" si="66"/>
        <v>97</v>
      </c>
      <c r="F73" s="90">
        <f t="shared" si="66"/>
        <v>2323</v>
      </c>
      <c r="G73" s="90">
        <f t="shared" si="66"/>
        <v>870</v>
      </c>
      <c r="H73" s="90">
        <f t="shared" si="66"/>
        <v>6920</v>
      </c>
    </row>
    <row r="74" spans="1:8">
      <c r="A74" s="75" t="s">
        <v>12</v>
      </c>
      <c r="B74" s="217">
        <f t="shared" ref="B74:H74" si="67">B73/B72*100</f>
        <v>100.08244023083263</v>
      </c>
      <c r="C74" s="217">
        <f t="shared" si="67"/>
        <v>98.753392130257794</v>
      </c>
      <c r="D74" s="217">
        <f t="shared" si="67"/>
        <v>101.80476617808355</v>
      </c>
      <c r="E74" s="217">
        <f t="shared" si="67"/>
        <v>146.96969696969697</v>
      </c>
      <c r="F74" s="217">
        <f t="shared" si="67"/>
        <v>80.38062283737024</v>
      </c>
      <c r="G74" s="217">
        <f t="shared" si="67"/>
        <v>143.56435643564356</v>
      </c>
      <c r="H74" s="217">
        <f t="shared" si="67"/>
        <v>107.00479356734189</v>
      </c>
    </row>
    <row r="75" spans="1:8">
      <c r="A75" s="75" t="s">
        <v>31</v>
      </c>
      <c r="B75" s="90">
        <f t="shared" ref="B75:H76" si="68">K38+S38+AK38</f>
        <v>340.3</v>
      </c>
      <c r="C75" s="90">
        <f t="shared" si="68"/>
        <v>18293</v>
      </c>
      <c r="D75" s="90">
        <f t="shared" si="68"/>
        <v>15513</v>
      </c>
      <c r="E75" s="90">
        <f t="shared" si="68"/>
        <v>2726</v>
      </c>
      <c r="F75" s="90">
        <f t="shared" si="68"/>
        <v>4101</v>
      </c>
      <c r="G75" s="90">
        <f t="shared" si="68"/>
        <v>613</v>
      </c>
      <c r="H75" s="90">
        <f t="shared" si="68"/>
        <v>8073</v>
      </c>
    </row>
    <row r="76" spans="1:8">
      <c r="A76" s="75" t="s">
        <v>52</v>
      </c>
      <c r="B76" s="90">
        <f t="shared" si="68"/>
        <v>302.3</v>
      </c>
      <c r="C76" s="90">
        <f t="shared" si="68"/>
        <v>17820</v>
      </c>
      <c r="D76" s="90">
        <f t="shared" si="68"/>
        <v>14856</v>
      </c>
      <c r="E76" s="90">
        <f t="shared" si="68"/>
        <v>1135</v>
      </c>
      <c r="F76" s="90">
        <f t="shared" si="68"/>
        <v>4320</v>
      </c>
      <c r="G76" s="90">
        <f t="shared" si="68"/>
        <v>1019</v>
      </c>
      <c r="H76" s="90">
        <f t="shared" si="68"/>
        <v>8382</v>
      </c>
    </row>
    <row r="77" spans="1:8">
      <c r="A77" s="75" t="s">
        <v>12</v>
      </c>
      <c r="B77" s="217">
        <f t="shared" ref="B77:H77" si="69">B76/B75*100</f>
        <v>88.833382309726716</v>
      </c>
      <c r="C77" s="217">
        <f t="shared" si="69"/>
        <v>97.414311485267589</v>
      </c>
      <c r="D77" s="217">
        <f t="shared" si="69"/>
        <v>95.764842390253335</v>
      </c>
      <c r="E77" s="217">
        <f t="shared" si="69"/>
        <v>41.636096845194423</v>
      </c>
      <c r="F77" s="217">
        <f t="shared" si="69"/>
        <v>105.34016093635698</v>
      </c>
      <c r="G77" s="217">
        <f t="shared" si="69"/>
        <v>166.23164763458402</v>
      </c>
      <c r="H77" s="217">
        <f t="shared" si="69"/>
        <v>103.82757339279078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7" t="s">
        <v>17</v>
      </c>
      <c r="B82" s="210"/>
      <c r="C82" s="211"/>
      <c r="D82" s="210"/>
      <c r="E82" s="210"/>
      <c r="F82" s="210"/>
      <c r="G82" s="210"/>
      <c r="H82" s="212"/>
    </row>
    <row r="83" spans="1:8">
      <c r="A83" s="75" t="s">
        <v>40</v>
      </c>
      <c r="B83" s="213">
        <f t="shared" ref="B83:H98" si="70">B9-B46</f>
        <v>0</v>
      </c>
      <c r="C83" s="213">
        <f t="shared" si="70"/>
        <v>0</v>
      </c>
      <c r="D83" s="213">
        <f t="shared" si="70"/>
        <v>0</v>
      </c>
      <c r="E83" s="213">
        <f t="shared" si="70"/>
        <v>0</v>
      </c>
      <c r="F83" s="213">
        <f t="shared" si="70"/>
        <v>0</v>
      </c>
      <c r="G83" s="213">
        <f t="shared" si="70"/>
        <v>0</v>
      </c>
      <c r="H83" s="213">
        <f t="shared" si="70"/>
        <v>0</v>
      </c>
    </row>
    <row r="84" spans="1:8">
      <c r="A84" s="214" t="s">
        <v>50</v>
      </c>
      <c r="B84" s="213">
        <f t="shared" si="70"/>
        <v>0</v>
      </c>
      <c r="C84" s="213">
        <f t="shared" si="70"/>
        <v>0</v>
      </c>
      <c r="D84" s="213">
        <f t="shared" si="70"/>
        <v>0</v>
      </c>
      <c r="E84" s="213">
        <f t="shared" si="70"/>
        <v>0</v>
      </c>
      <c r="F84" s="213">
        <f t="shared" si="70"/>
        <v>0</v>
      </c>
      <c r="G84" s="213">
        <f t="shared" si="70"/>
        <v>0</v>
      </c>
      <c r="H84" s="213">
        <f t="shared" si="70"/>
        <v>0</v>
      </c>
    </row>
    <row r="85" spans="1:8">
      <c r="A85" s="215" t="s">
        <v>44</v>
      </c>
      <c r="B85" s="213">
        <f t="shared" si="70"/>
        <v>0</v>
      </c>
      <c r="C85" s="213">
        <f t="shared" si="70"/>
        <v>0</v>
      </c>
      <c r="D85" s="213">
        <f t="shared" si="70"/>
        <v>0</v>
      </c>
      <c r="E85" s="213">
        <f t="shared" si="70"/>
        <v>0</v>
      </c>
      <c r="F85" s="213">
        <f t="shared" si="70"/>
        <v>0</v>
      </c>
      <c r="G85" s="213">
        <f t="shared" si="70"/>
        <v>0</v>
      </c>
      <c r="H85" s="213">
        <f t="shared" si="70"/>
        <v>0</v>
      </c>
    </row>
    <row r="86" spans="1:8">
      <c r="A86" s="87" t="s">
        <v>11</v>
      </c>
      <c r="B86" s="213">
        <f t="shared" si="70"/>
        <v>0</v>
      </c>
      <c r="C86" s="213">
        <f t="shared" si="70"/>
        <v>0</v>
      </c>
      <c r="D86" s="213">
        <f t="shared" si="70"/>
        <v>0</v>
      </c>
      <c r="E86" s="213">
        <f t="shared" si="70"/>
        <v>0</v>
      </c>
      <c r="F86" s="213">
        <f t="shared" si="70"/>
        <v>0</v>
      </c>
      <c r="G86" s="213">
        <f t="shared" si="70"/>
        <v>0</v>
      </c>
      <c r="H86" s="213">
        <f t="shared" si="70"/>
        <v>0</v>
      </c>
    </row>
    <row r="87" spans="1:8">
      <c r="A87" s="75" t="s">
        <v>40</v>
      </c>
      <c r="B87" s="213">
        <f t="shared" si="70"/>
        <v>0</v>
      </c>
      <c r="C87" s="213">
        <f t="shared" si="70"/>
        <v>0</v>
      </c>
      <c r="D87" s="213">
        <f t="shared" si="70"/>
        <v>0</v>
      </c>
      <c r="E87" s="213">
        <f t="shared" si="70"/>
        <v>0</v>
      </c>
      <c r="F87" s="213">
        <f t="shared" si="70"/>
        <v>0</v>
      </c>
      <c r="G87" s="213">
        <f t="shared" si="70"/>
        <v>0</v>
      </c>
      <c r="H87" s="213">
        <f t="shared" si="70"/>
        <v>0</v>
      </c>
    </row>
    <row r="88" spans="1:8">
      <c r="A88" s="75" t="s">
        <v>50</v>
      </c>
      <c r="B88" s="213">
        <f t="shared" si="70"/>
        <v>0</v>
      </c>
      <c r="C88" s="213">
        <f t="shared" si="70"/>
        <v>0</v>
      </c>
      <c r="D88" s="213">
        <f t="shared" si="70"/>
        <v>0</v>
      </c>
      <c r="E88" s="213">
        <f t="shared" si="70"/>
        <v>0</v>
      </c>
      <c r="F88" s="213">
        <f t="shared" si="70"/>
        <v>0</v>
      </c>
      <c r="G88" s="213">
        <f t="shared" si="70"/>
        <v>0</v>
      </c>
      <c r="H88" s="213">
        <f t="shared" si="70"/>
        <v>0</v>
      </c>
    </row>
    <row r="89" spans="1:8">
      <c r="A89" s="75" t="s">
        <v>44</v>
      </c>
      <c r="B89" s="213">
        <f t="shared" si="70"/>
        <v>0</v>
      </c>
      <c r="C89" s="213">
        <f t="shared" si="70"/>
        <v>0</v>
      </c>
      <c r="D89" s="213">
        <f t="shared" si="70"/>
        <v>0</v>
      </c>
      <c r="E89" s="213">
        <f t="shared" si="70"/>
        <v>0</v>
      </c>
      <c r="F89" s="213">
        <f t="shared" si="70"/>
        <v>0</v>
      </c>
      <c r="G89" s="213">
        <f t="shared" si="70"/>
        <v>0</v>
      </c>
      <c r="H89" s="213">
        <f t="shared" si="70"/>
        <v>0</v>
      </c>
    </row>
    <row r="90" spans="1:8">
      <c r="A90" s="75" t="s">
        <v>13</v>
      </c>
      <c r="B90" s="213">
        <f t="shared" si="70"/>
        <v>0</v>
      </c>
      <c r="C90" s="213">
        <f t="shared" si="70"/>
        <v>0</v>
      </c>
      <c r="D90" s="213">
        <f t="shared" si="70"/>
        <v>0</v>
      </c>
      <c r="E90" s="213">
        <f t="shared" si="70"/>
        <v>0</v>
      </c>
      <c r="F90" s="213">
        <f t="shared" si="70"/>
        <v>0</v>
      </c>
      <c r="G90" s="213">
        <f t="shared" si="70"/>
        <v>0</v>
      </c>
      <c r="H90" s="213">
        <f t="shared" si="70"/>
        <v>0</v>
      </c>
    </row>
    <row r="91" spans="1:8">
      <c r="A91" s="92" t="s">
        <v>14</v>
      </c>
      <c r="B91" s="213">
        <f t="shared" si="70"/>
        <v>0</v>
      </c>
      <c r="C91" s="213">
        <f t="shared" si="70"/>
        <v>0</v>
      </c>
      <c r="D91" s="213">
        <f t="shared" si="70"/>
        <v>0</v>
      </c>
      <c r="E91" s="213">
        <f t="shared" si="70"/>
        <v>0</v>
      </c>
      <c r="F91" s="213">
        <f t="shared" si="70"/>
        <v>0</v>
      </c>
      <c r="G91" s="213">
        <f t="shared" si="70"/>
        <v>0</v>
      </c>
      <c r="H91" s="213">
        <f t="shared" si="70"/>
        <v>0</v>
      </c>
    </row>
    <row r="92" spans="1:8">
      <c r="A92" s="75" t="s">
        <v>15</v>
      </c>
      <c r="B92" s="213">
        <f t="shared" si="70"/>
        <v>0</v>
      </c>
      <c r="C92" s="213">
        <f t="shared" si="70"/>
        <v>0</v>
      </c>
      <c r="D92" s="213">
        <f t="shared" si="70"/>
        <v>0</v>
      </c>
      <c r="E92" s="213">
        <f t="shared" si="70"/>
        <v>0</v>
      </c>
      <c r="F92" s="213">
        <f t="shared" si="70"/>
        <v>0</v>
      </c>
      <c r="G92" s="213">
        <f t="shared" si="70"/>
        <v>0</v>
      </c>
      <c r="H92" s="213">
        <f t="shared" si="70"/>
        <v>0</v>
      </c>
    </row>
    <row r="93" spans="1:8">
      <c r="A93" s="87" t="s">
        <v>16</v>
      </c>
      <c r="B93" s="213">
        <f t="shared" si="70"/>
        <v>0</v>
      </c>
      <c r="C93" s="213">
        <f t="shared" si="70"/>
        <v>0</v>
      </c>
      <c r="D93" s="213">
        <f t="shared" si="70"/>
        <v>0</v>
      </c>
      <c r="E93" s="213">
        <f t="shared" si="70"/>
        <v>0</v>
      </c>
      <c r="F93" s="213">
        <f t="shared" si="70"/>
        <v>0</v>
      </c>
      <c r="G93" s="213">
        <f t="shared" si="70"/>
        <v>0</v>
      </c>
      <c r="H93" s="213">
        <f t="shared" si="70"/>
        <v>0</v>
      </c>
    </row>
    <row r="94" spans="1:8">
      <c r="A94" s="75" t="s">
        <v>40</v>
      </c>
      <c r="B94" s="213">
        <f t="shared" si="70"/>
        <v>0</v>
      </c>
      <c r="C94" s="213">
        <f t="shared" si="70"/>
        <v>0</v>
      </c>
      <c r="D94" s="213">
        <f t="shared" si="70"/>
        <v>0</v>
      </c>
      <c r="E94" s="213">
        <f t="shared" si="70"/>
        <v>0</v>
      </c>
      <c r="F94" s="213">
        <f t="shared" si="70"/>
        <v>0</v>
      </c>
      <c r="G94" s="213">
        <f t="shared" si="70"/>
        <v>0</v>
      </c>
      <c r="H94" s="213">
        <f t="shared" si="70"/>
        <v>0</v>
      </c>
    </row>
    <row r="95" spans="1:8">
      <c r="A95" s="92" t="s">
        <v>50</v>
      </c>
      <c r="B95" s="213">
        <f t="shared" si="70"/>
        <v>0</v>
      </c>
      <c r="C95" s="213">
        <f t="shared" si="70"/>
        <v>0</v>
      </c>
      <c r="D95" s="213">
        <f t="shared" si="70"/>
        <v>0</v>
      </c>
      <c r="E95" s="213">
        <f t="shared" si="70"/>
        <v>0</v>
      </c>
      <c r="F95" s="213">
        <f t="shared" si="70"/>
        <v>0</v>
      </c>
      <c r="G95" s="213">
        <f t="shared" si="70"/>
        <v>0</v>
      </c>
      <c r="H95" s="213">
        <f t="shared" si="70"/>
        <v>0</v>
      </c>
    </row>
    <row r="96" spans="1:8">
      <c r="A96" s="75" t="s">
        <v>44</v>
      </c>
      <c r="B96" s="213">
        <f t="shared" si="70"/>
        <v>0</v>
      </c>
      <c r="C96" s="213">
        <f t="shared" si="70"/>
        <v>0</v>
      </c>
      <c r="D96" s="213">
        <f t="shared" si="70"/>
        <v>0</v>
      </c>
      <c r="E96" s="213">
        <f t="shared" si="70"/>
        <v>0</v>
      </c>
      <c r="F96" s="213">
        <f t="shared" si="70"/>
        <v>0</v>
      </c>
      <c r="G96" s="213">
        <f t="shared" si="70"/>
        <v>0</v>
      </c>
      <c r="H96" s="213">
        <f t="shared" si="70"/>
        <v>0</v>
      </c>
    </row>
    <row r="97" spans="1:8">
      <c r="A97" s="75" t="s">
        <v>21</v>
      </c>
      <c r="B97" s="213">
        <f t="shared" si="70"/>
        <v>0</v>
      </c>
      <c r="C97" s="213">
        <f t="shared" si="70"/>
        <v>0</v>
      </c>
      <c r="D97" s="213">
        <f t="shared" si="70"/>
        <v>0</v>
      </c>
      <c r="E97" s="213">
        <f t="shared" si="70"/>
        <v>0</v>
      </c>
      <c r="F97" s="213">
        <f t="shared" si="70"/>
        <v>0</v>
      </c>
      <c r="G97" s="213">
        <f t="shared" si="70"/>
        <v>0</v>
      </c>
      <c r="H97" s="213">
        <f t="shared" si="70"/>
        <v>0</v>
      </c>
    </row>
    <row r="98" spans="1:8">
      <c r="A98" s="75" t="s">
        <v>51</v>
      </c>
      <c r="B98" s="213">
        <f t="shared" si="70"/>
        <v>0</v>
      </c>
      <c r="C98" s="213">
        <f t="shared" si="70"/>
        <v>0</v>
      </c>
      <c r="D98" s="213">
        <f t="shared" si="70"/>
        <v>0</v>
      </c>
      <c r="E98" s="213">
        <f t="shared" si="70"/>
        <v>0</v>
      </c>
      <c r="F98" s="213">
        <f t="shared" si="70"/>
        <v>0</v>
      </c>
      <c r="G98" s="213">
        <f t="shared" si="70"/>
        <v>0</v>
      </c>
      <c r="H98" s="213">
        <f t="shared" si="70"/>
        <v>0</v>
      </c>
    </row>
    <row r="99" spans="1:8">
      <c r="A99" s="75" t="s">
        <v>12</v>
      </c>
      <c r="B99" s="213" t="e">
        <f t="shared" ref="B99:H114" si="71">B25-B62</f>
        <v>#DIV/0!</v>
      </c>
      <c r="C99" s="213" t="e">
        <f t="shared" si="71"/>
        <v>#DIV/0!</v>
      </c>
      <c r="D99" s="213" t="e">
        <f t="shared" si="71"/>
        <v>#DIV/0!</v>
      </c>
      <c r="E99" s="213" t="e">
        <f t="shared" si="71"/>
        <v>#DIV/0!</v>
      </c>
      <c r="F99" s="213" t="e">
        <f t="shared" si="71"/>
        <v>#DIV/0!</v>
      </c>
      <c r="G99" s="213" t="e">
        <f t="shared" si="71"/>
        <v>#DIV/0!</v>
      </c>
      <c r="H99" s="213" t="e">
        <f t="shared" si="71"/>
        <v>#DIV/0!</v>
      </c>
    </row>
    <row r="100" spans="1:8">
      <c r="A100" s="75" t="s">
        <v>23</v>
      </c>
      <c r="B100" s="213">
        <f t="shared" si="71"/>
        <v>0</v>
      </c>
      <c r="C100" s="213">
        <f t="shared" si="71"/>
        <v>0</v>
      </c>
      <c r="D100" s="213">
        <f t="shared" si="71"/>
        <v>0</v>
      </c>
      <c r="E100" s="213">
        <f t="shared" si="71"/>
        <v>0</v>
      </c>
      <c r="F100" s="213">
        <f t="shared" si="71"/>
        <v>0</v>
      </c>
      <c r="G100" s="213">
        <f t="shared" si="71"/>
        <v>0</v>
      </c>
      <c r="H100" s="213">
        <f t="shared" si="71"/>
        <v>0</v>
      </c>
    </row>
    <row r="101" spans="1:8">
      <c r="A101" s="75" t="s">
        <v>45</v>
      </c>
      <c r="B101" s="213">
        <f t="shared" si="71"/>
        <v>0</v>
      </c>
      <c r="C101" s="213">
        <f t="shared" si="71"/>
        <v>0</v>
      </c>
      <c r="D101" s="213">
        <f t="shared" si="71"/>
        <v>0</v>
      </c>
      <c r="E101" s="213">
        <f t="shared" si="71"/>
        <v>0</v>
      </c>
      <c r="F101" s="213">
        <f t="shared" si="71"/>
        <v>0</v>
      </c>
      <c r="G101" s="213">
        <f t="shared" si="71"/>
        <v>0</v>
      </c>
      <c r="H101" s="213">
        <f t="shared" si="71"/>
        <v>0</v>
      </c>
    </row>
    <row r="102" spans="1:8">
      <c r="A102" s="75" t="s">
        <v>12</v>
      </c>
      <c r="B102" s="213">
        <f t="shared" si="71"/>
        <v>0</v>
      </c>
      <c r="C102" s="213">
        <f t="shared" si="71"/>
        <v>0</v>
      </c>
      <c r="D102" s="213">
        <f t="shared" si="71"/>
        <v>0</v>
      </c>
      <c r="E102" s="213">
        <f t="shared" si="71"/>
        <v>0</v>
      </c>
      <c r="F102" s="213">
        <f t="shared" si="71"/>
        <v>0</v>
      </c>
      <c r="G102" s="213">
        <f t="shared" si="71"/>
        <v>0</v>
      </c>
      <c r="H102" s="213">
        <f t="shared" si="71"/>
        <v>0</v>
      </c>
    </row>
    <row r="103" spans="1:8">
      <c r="A103" s="75" t="s">
        <v>25</v>
      </c>
      <c r="B103" s="213">
        <f t="shared" si="71"/>
        <v>0</v>
      </c>
      <c r="C103" s="213">
        <f t="shared" si="71"/>
        <v>0</v>
      </c>
      <c r="D103" s="213">
        <f t="shared" si="71"/>
        <v>0</v>
      </c>
      <c r="E103" s="213">
        <f t="shared" si="71"/>
        <v>0</v>
      </c>
      <c r="F103" s="213">
        <f t="shared" si="71"/>
        <v>0</v>
      </c>
      <c r="G103" s="213">
        <f t="shared" si="71"/>
        <v>0</v>
      </c>
      <c r="H103" s="213">
        <f t="shared" si="71"/>
        <v>0</v>
      </c>
    </row>
    <row r="104" spans="1:8">
      <c r="A104" s="75" t="s">
        <v>46</v>
      </c>
      <c r="B104" s="213">
        <f t="shared" si="71"/>
        <v>0</v>
      </c>
      <c r="C104" s="213">
        <f t="shared" si="71"/>
        <v>0</v>
      </c>
      <c r="D104" s="213">
        <f t="shared" si="71"/>
        <v>0</v>
      </c>
      <c r="E104" s="213">
        <f t="shared" si="71"/>
        <v>0</v>
      </c>
      <c r="F104" s="213">
        <f t="shared" si="71"/>
        <v>0</v>
      </c>
      <c r="G104" s="213">
        <f t="shared" si="71"/>
        <v>0</v>
      </c>
      <c r="H104" s="213">
        <f t="shared" si="71"/>
        <v>0</v>
      </c>
    </row>
    <row r="105" spans="1:8">
      <c r="A105" s="75" t="s">
        <v>12</v>
      </c>
      <c r="B105" s="213">
        <f t="shared" si="71"/>
        <v>0</v>
      </c>
      <c r="C105" s="213">
        <f t="shared" si="71"/>
        <v>0</v>
      </c>
      <c r="D105" s="213">
        <f t="shared" si="71"/>
        <v>0</v>
      </c>
      <c r="E105" s="213">
        <f t="shared" si="71"/>
        <v>0</v>
      </c>
      <c r="F105" s="213">
        <f t="shared" si="71"/>
        <v>0</v>
      </c>
      <c r="G105" s="213">
        <f t="shared" si="71"/>
        <v>0</v>
      </c>
      <c r="H105" s="213">
        <f t="shared" si="71"/>
        <v>0</v>
      </c>
    </row>
    <row r="106" spans="1:8">
      <c r="A106" s="75" t="s">
        <v>27</v>
      </c>
      <c r="B106" s="213">
        <f t="shared" si="71"/>
        <v>0</v>
      </c>
      <c r="C106" s="213">
        <f t="shared" si="71"/>
        <v>0</v>
      </c>
      <c r="D106" s="213">
        <f t="shared" si="71"/>
        <v>0</v>
      </c>
      <c r="E106" s="213">
        <f t="shared" si="71"/>
        <v>0</v>
      </c>
      <c r="F106" s="213">
        <f t="shared" si="71"/>
        <v>0</v>
      </c>
      <c r="G106" s="213">
        <f t="shared" si="71"/>
        <v>0</v>
      </c>
      <c r="H106" s="213">
        <f t="shared" si="71"/>
        <v>0</v>
      </c>
    </row>
    <row r="107" spans="1:8">
      <c r="A107" s="75" t="s">
        <v>47</v>
      </c>
      <c r="B107" s="213">
        <f t="shared" si="71"/>
        <v>0</v>
      </c>
      <c r="C107" s="213">
        <f t="shared" si="71"/>
        <v>0</v>
      </c>
      <c r="D107" s="213">
        <f t="shared" si="71"/>
        <v>0</v>
      </c>
      <c r="E107" s="213">
        <f t="shared" si="71"/>
        <v>0</v>
      </c>
      <c r="F107" s="213">
        <f t="shared" si="71"/>
        <v>0</v>
      </c>
      <c r="G107" s="213">
        <f t="shared" si="71"/>
        <v>0</v>
      </c>
      <c r="H107" s="213">
        <f t="shared" si="71"/>
        <v>0</v>
      </c>
    </row>
    <row r="108" spans="1:8">
      <c r="A108" s="75" t="s">
        <v>12</v>
      </c>
      <c r="B108" s="213">
        <f t="shared" si="71"/>
        <v>0</v>
      </c>
      <c r="C108" s="213">
        <f t="shared" si="71"/>
        <v>0</v>
      </c>
      <c r="D108" s="213">
        <f t="shared" si="71"/>
        <v>0</v>
      </c>
      <c r="E108" s="213">
        <f t="shared" si="71"/>
        <v>0</v>
      </c>
      <c r="F108" s="213">
        <f t="shared" si="71"/>
        <v>0</v>
      </c>
      <c r="G108" s="213">
        <f t="shared" si="71"/>
        <v>0</v>
      </c>
      <c r="H108" s="213">
        <f t="shared" si="71"/>
        <v>0</v>
      </c>
    </row>
    <row r="109" spans="1:8">
      <c r="A109" s="75" t="s">
        <v>29</v>
      </c>
      <c r="B109" s="213">
        <f t="shared" si="71"/>
        <v>0</v>
      </c>
      <c r="C109" s="213">
        <f t="shared" si="71"/>
        <v>0</v>
      </c>
      <c r="D109" s="213">
        <f t="shared" si="71"/>
        <v>0</v>
      </c>
      <c r="E109" s="213">
        <f t="shared" si="71"/>
        <v>0</v>
      </c>
      <c r="F109" s="213">
        <f t="shared" si="71"/>
        <v>0</v>
      </c>
      <c r="G109" s="213">
        <f t="shared" si="71"/>
        <v>0</v>
      </c>
      <c r="H109" s="213">
        <f t="shared" si="71"/>
        <v>0</v>
      </c>
    </row>
    <row r="110" spans="1:8">
      <c r="A110" s="75" t="s">
        <v>48</v>
      </c>
      <c r="B110" s="213">
        <f t="shared" si="71"/>
        <v>0</v>
      </c>
      <c r="C110" s="213">
        <f t="shared" si="71"/>
        <v>0</v>
      </c>
      <c r="D110" s="213">
        <f t="shared" si="71"/>
        <v>0</v>
      </c>
      <c r="E110" s="213">
        <f t="shared" si="71"/>
        <v>0</v>
      </c>
      <c r="F110" s="213">
        <f t="shared" si="71"/>
        <v>0</v>
      </c>
      <c r="G110" s="213">
        <f t="shared" si="71"/>
        <v>0</v>
      </c>
      <c r="H110" s="213">
        <f t="shared" si="71"/>
        <v>0</v>
      </c>
    </row>
    <row r="111" spans="1:8">
      <c r="A111" s="75" t="s">
        <v>12</v>
      </c>
      <c r="B111" s="213">
        <f t="shared" si="71"/>
        <v>0</v>
      </c>
      <c r="C111" s="213">
        <f t="shared" si="71"/>
        <v>0</v>
      </c>
      <c r="D111" s="213">
        <f t="shared" si="71"/>
        <v>0</v>
      </c>
      <c r="E111" s="213">
        <f t="shared" si="71"/>
        <v>0</v>
      </c>
      <c r="F111" s="213">
        <f t="shared" si="71"/>
        <v>0</v>
      </c>
      <c r="G111" s="213">
        <f t="shared" si="71"/>
        <v>0</v>
      </c>
      <c r="H111" s="213">
        <f t="shared" si="71"/>
        <v>0</v>
      </c>
    </row>
    <row r="112" spans="1:8">
      <c r="A112" s="75" t="s">
        <v>31</v>
      </c>
      <c r="B112" s="213">
        <f t="shared" si="71"/>
        <v>0</v>
      </c>
      <c r="C112" s="213">
        <f t="shared" si="71"/>
        <v>0</v>
      </c>
      <c r="D112" s="213">
        <f t="shared" si="71"/>
        <v>0</v>
      </c>
      <c r="E112" s="213">
        <f t="shared" si="71"/>
        <v>0</v>
      </c>
      <c r="F112" s="213">
        <f t="shared" si="71"/>
        <v>0</v>
      </c>
      <c r="G112" s="213">
        <f t="shared" si="71"/>
        <v>0</v>
      </c>
      <c r="H112" s="213">
        <f t="shared" si="71"/>
        <v>0</v>
      </c>
    </row>
    <row r="113" spans="1:8">
      <c r="A113" s="75" t="s">
        <v>52</v>
      </c>
      <c r="B113" s="213">
        <f t="shared" si="71"/>
        <v>0</v>
      </c>
      <c r="C113" s="213">
        <f t="shared" si="71"/>
        <v>0</v>
      </c>
      <c r="D113" s="213">
        <f t="shared" si="71"/>
        <v>0</v>
      </c>
      <c r="E113" s="213">
        <f t="shared" si="71"/>
        <v>0</v>
      </c>
      <c r="F113" s="213">
        <f t="shared" si="71"/>
        <v>0</v>
      </c>
      <c r="G113" s="213">
        <f t="shared" si="71"/>
        <v>0</v>
      </c>
      <c r="H113" s="213">
        <f t="shared" si="71"/>
        <v>0</v>
      </c>
    </row>
    <row r="114" spans="1:8">
      <c r="A114" s="75" t="s">
        <v>12</v>
      </c>
      <c r="B114" s="213">
        <f t="shared" si="71"/>
        <v>0</v>
      </c>
      <c r="C114" s="213">
        <f t="shared" si="71"/>
        <v>0</v>
      </c>
      <c r="D114" s="213">
        <f t="shared" si="71"/>
        <v>0</v>
      </c>
      <c r="E114" s="213">
        <f t="shared" si="71"/>
        <v>0</v>
      </c>
      <c r="F114" s="213">
        <f t="shared" si="71"/>
        <v>0</v>
      </c>
      <c r="G114" s="213">
        <f t="shared" si="71"/>
        <v>0</v>
      </c>
      <c r="H114" s="213">
        <f t="shared" si="71"/>
        <v>0</v>
      </c>
    </row>
  </sheetData>
  <mergeCells count="18">
    <mergeCell ref="AJ19:AQ19"/>
    <mergeCell ref="A19:H19"/>
    <mergeCell ref="J19:Q19"/>
    <mergeCell ref="R19:Y19"/>
    <mergeCell ref="AA19:AH19"/>
    <mergeCell ref="A1:H1"/>
    <mergeCell ref="A3:H3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  <mergeCell ref="E2:H2"/>
  </mergeCells>
  <phoneticPr fontId="17" type="noConversion"/>
  <pageMargins left="0.16" right="0.17" top="0.22" bottom="0.34" header="0.12" footer="0.22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8"/>
  <dimension ref="A1:AR114"/>
  <sheetViews>
    <sheetView zoomScale="70" zoomScaleNormal="70" workbookViewId="0">
      <selection activeCell="A9" sqref="A9:AQ40"/>
    </sheetView>
  </sheetViews>
  <sheetFormatPr defaultRowHeight="13.2"/>
  <cols>
    <col min="1" max="1" width="15.5546875" customWidth="1"/>
    <col min="2" max="2" width="7.33203125" customWidth="1"/>
    <col min="3" max="3" width="8" customWidth="1"/>
    <col min="5" max="5" width="6.6640625" customWidth="1"/>
    <col min="6" max="6" width="7.109375" customWidth="1"/>
    <col min="7" max="7" width="8" customWidth="1"/>
    <col min="8" max="8" width="7.33203125" customWidth="1"/>
    <col min="9" max="9" width="5.33203125" customWidth="1"/>
    <col min="10" max="10" width="14.109375" customWidth="1"/>
    <col min="11" max="11" width="7.109375" customWidth="1"/>
    <col min="12" max="12" width="8.33203125" customWidth="1"/>
    <col min="14" max="14" width="6.33203125" customWidth="1"/>
    <col min="15" max="15" width="7.6640625" customWidth="1"/>
    <col min="16" max="16" width="7.88671875" customWidth="1"/>
    <col min="17" max="17" width="6.6640625" customWidth="1"/>
    <col min="18" max="18" width="14.88671875" customWidth="1"/>
    <col min="19" max="19" width="7.33203125" customWidth="1"/>
    <col min="20" max="20" width="7.88671875" customWidth="1"/>
    <col min="22" max="22" width="7.109375" customWidth="1"/>
    <col min="23" max="23" width="7.88671875" customWidth="1"/>
    <col min="24" max="24" width="8.109375" customWidth="1"/>
    <col min="25" max="25" width="7.33203125" customWidth="1"/>
    <col min="26" max="26" width="5.109375" customWidth="1"/>
    <col min="27" max="27" width="14.33203125" customWidth="1"/>
    <col min="28" max="28" width="7.6640625" customWidth="1"/>
    <col min="29" max="29" width="8.33203125" customWidth="1"/>
    <col min="31" max="31" width="7.5546875" customWidth="1"/>
    <col min="32" max="32" width="8" customWidth="1"/>
    <col min="33" max="33" width="7.33203125" customWidth="1"/>
    <col min="34" max="34" width="7" customWidth="1"/>
    <col min="36" max="36" width="11.5546875" customWidth="1"/>
  </cols>
  <sheetData>
    <row r="1" spans="1:44" s="37" customFormat="1" ht="15.6">
      <c r="Q1" s="38" t="s">
        <v>33</v>
      </c>
    </row>
    <row r="2" spans="1:44" s="12" customFormat="1" ht="15.75" customHeight="1">
      <c r="H2" s="39" t="s">
        <v>34</v>
      </c>
      <c r="I2" s="39"/>
    </row>
    <row r="3" spans="1:44" s="12" customFormat="1" ht="18.75" customHeight="1">
      <c r="B3" s="12" t="s">
        <v>101</v>
      </c>
      <c r="C3"/>
      <c r="D3"/>
      <c r="E3"/>
      <c r="F3"/>
      <c r="G3"/>
      <c r="H3"/>
      <c r="I3"/>
    </row>
    <row r="4" spans="1:44" s="37" customFormat="1" ht="36" customHeight="1">
      <c r="A4" s="494" t="s">
        <v>122</v>
      </c>
      <c r="B4" s="494"/>
      <c r="C4" s="494"/>
      <c r="D4" s="494"/>
      <c r="E4" s="494"/>
      <c r="F4" s="494"/>
      <c r="G4" s="494"/>
      <c r="H4" s="494"/>
      <c r="I4" s="226"/>
      <c r="J4" s="40"/>
      <c r="K4" s="40"/>
      <c r="L4" s="12"/>
      <c r="M4" s="12"/>
      <c r="N4" s="12"/>
      <c r="O4" s="12"/>
      <c r="P4" s="12"/>
      <c r="Q4" s="12"/>
      <c r="R4" s="12"/>
    </row>
    <row r="5" spans="1:44" ht="16.5" customHeight="1">
      <c r="A5" s="13" t="s">
        <v>35</v>
      </c>
      <c r="B5" s="1"/>
      <c r="C5" s="520"/>
      <c r="D5" s="520"/>
      <c r="E5" s="520"/>
      <c r="F5" s="520"/>
      <c r="G5" s="520"/>
      <c r="H5" s="520"/>
      <c r="I5" s="1"/>
      <c r="J5" s="2" t="s">
        <v>36</v>
      </c>
      <c r="P5" s="2"/>
      <c r="Q5" s="115"/>
      <c r="R5" s="13" t="s">
        <v>37</v>
      </c>
      <c r="X5" s="13"/>
      <c r="Y5" s="13"/>
      <c r="Z5" s="13"/>
      <c r="AA5" s="34" t="s">
        <v>38</v>
      </c>
      <c r="AD5" s="34"/>
      <c r="AE5" s="34"/>
      <c r="AF5" s="34"/>
      <c r="AG5" s="34"/>
      <c r="AH5" s="34"/>
      <c r="AI5" s="54"/>
      <c r="AJ5" s="2" t="s">
        <v>58</v>
      </c>
      <c r="AR5" s="2"/>
    </row>
    <row r="6" spans="1:44">
      <c r="A6" s="3" t="s">
        <v>0</v>
      </c>
      <c r="B6" s="4" t="s">
        <v>1</v>
      </c>
      <c r="C6" s="55" t="s">
        <v>2</v>
      </c>
      <c r="D6" s="4" t="s">
        <v>3</v>
      </c>
      <c r="E6" s="55" t="s">
        <v>4</v>
      </c>
      <c r="F6" s="4" t="s">
        <v>5</v>
      </c>
      <c r="G6" s="55" t="s">
        <v>6</v>
      </c>
      <c r="H6" s="4" t="s">
        <v>7</v>
      </c>
      <c r="I6" s="1"/>
      <c r="J6" s="56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57" t="s">
        <v>7</v>
      </c>
      <c r="Z6" s="58"/>
      <c r="AA6" s="59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4">
      <c r="A7" s="5"/>
      <c r="B7" s="5" t="s">
        <v>8</v>
      </c>
      <c r="C7" s="60" t="s">
        <v>9</v>
      </c>
      <c r="D7" s="5" t="s">
        <v>10</v>
      </c>
      <c r="E7" s="60" t="s">
        <v>9</v>
      </c>
      <c r="F7" s="5" t="s">
        <v>9</v>
      </c>
      <c r="G7" s="60" t="s">
        <v>9</v>
      </c>
      <c r="H7" s="5" t="s">
        <v>9</v>
      </c>
      <c r="I7" s="1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61" t="s">
        <v>9</v>
      </c>
      <c r="Z7" s="58"/>
      <c r="AA7" s="28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4" s="115" customFormat="1">
      <c r="A8" s="62" t="s">
        <v>17</v>
      </c>
      <c r="B8" s="393"/>
      <c r="C8" s="393"/>
      <c r="D8" s="393"/>
      <c r="E8" s="393"/>
      <c r="F8" s="393"/>
      <c r="G8" s="393"/>
      <c r="H8" s="393"/>
      <c r="J8" s="33" t="s">
        <v>17</v>
      </c>
      <c r="K8" s="64"/>
      <c r="L8" s="64"/>
      <c r="M8" s="64"/>
      <c r="N8" s="64"/>
      <c r="O8" s="64"/>
      <c r="P8" s="64"/>
      <c r="Q8" s="64"/>
      <c r="R8" s="33" t="s">
        <v>17</v>
      </c>
      <c r="S8" s="64"/>
      <c r="T8" s="64"/>
      <c r="U8" s="64"/>
      <c r="V8" s="64"/>
      <c r="W8" s="64"/>
      <c r="X8" s="64"/>
      <c r="Y8" s="264"/>
      <c r="Z8" s="252"/>
      <c r="AA8" s="63" t="s">
        <v>17</v>
      </c>
      <c r="AB8" s="64"/>
      <c r="AC8" s="64"/>
      <c r="AD8" s="64"/>
      <c r="AE8" s="64"/>
      <c r="AF8" s="64"/>
      <c r="AG8" s="64"/>
      <c r="AH8" s="64"/>
      <c r="AJ8" s="33" t="s">
        <v>17</v>
      </c>
      <c r="AK8" s="64"/>
      <c r="AL8" s="64"/>
      <c r="AM8" s="64"/>
      <c r="AN8" s="64"/>
      <c r="AO8" s="64"/>
      <c r="AP8" s="64"/>
      <c r="AQ8" s="64"/>
    </row>
    <row r="9" spans="1:44" s="218" customFormat="1" ht="13.8">
      <c r="A9" s="116" t="s">
        <v>40</v>
      </c>
      <c r="B9" s="249">
        <f>+K9+S9+AK9</f>
        <v>464.70000000000005</v>
      </c>
      <c r="C9" s="249">
        <f>+L9+T9+AL9</f>
        <v>27920</v>
      </c>
      <c r="D9" s="249">
        <f>D13+D20</f>
        <v>23610</v>
      </c>
      <c r="E9" s="249">
        <f t="shared" ref="E9:H10" si="0">+N9+V9+AN9</f>
        <v>4377</v>
      </c>
      <c r="F9" s="249">
        <f t="shared" si="0"/>
        <v>7582</v>
      </c>
      <c r="G9" s="249">
        <f t="shared" si="0"/>
        <v>894</v>
      </c>
      <c r="H9" s="249">
        <f t="shared" si="0"/>
        <v>10757</v>
      </c>
      <c r="J9" s="116" t="s">
        <v>40</v>
      </c>
      <c r="K9" s="249">
        <f t="shared" ref="K9:Q9" si="1">K13+K20</f>
        <v>165</v>
      </c>
      <c r="L9" s="249">
        <f t="shared" si="1"/>
        <v>5706</v>
      </c>
      <c r="M9" s="249">
        <f t="shared" si="1"/>
        <v>4663</v>
      </c>
      <c r="N9" s="249">
        <f t="shared" si="1"/>
        <v>641</v>
      </c>
      <c r="O9" s="249">
        <f t="shared" si="1"/>
        <v>1786</v>
      </c>
      <c r="P9" s="249">
        <f t="shared" si="1"/>
        <v>281</v>
      </c>
      <c r="Q9" s="249">
        <f t="shared" si="1"/>
        <v>1955</v>
      </c>
      <c r="R9" s="116" t="s">
        <v>40</v>
      </c>
      <c r="S9" s="261">
        <f t="shared" ref="S9:Y10" si="2">S13+S20</f>
        <v>297.90000000000003</v>
      </c>
      <c r="T9" s="249">
        <f t="shared" si="2"/>
        <v>22046</v>
      </c>
      <c r="U9" s="249">
        <f t="shared" si="2"/>
        <v>18828</v>
      </c>
      <c r="V9" s="249">
        <f t="shared" si="2"/>
        <v>3736</v>
      </c>
      <c r="W9" s="249">
        <f t="shared" si="2"/>
        <v>5796</v>
      </c>
      <c r="X9" s="249">
        <f t="shared" si="2"/>
        <v>597</v>
      </c>
      <c r="Y9" s="262">
        <f t="shared" si="2"/>
        <v>8699</v>
      </c>
      <c r="Z9" s="250"/>
      <c r="AA9" s="117" t="s">
        <v>40</v>
      </c>
      <c r="AB9" s="249">
        <f t="shared" ref="AB9:AH10" si="3">AB13+AB20</f>
        <v>11.4</v>
      </c>
      <c r="AC9" s="249">
        <f t="shared" si="3"/>
        <v>722</v>
      </c>
      <c r="AD9" s="249">
        <f t="shared" si="3"/>
        <v>621</v>
      </c>
      <c r="AE9" s="249">
        <f t="shared" si="3"/>
        <v>248</v>
      </c>
      <c r="AF9" s="249">
        <f t="shared" si="3"/>
        <v>187</v>
      </c>
      <c r="AG9" s="249">
        <f t="shared" si="3"/>
        <v>14</v>
      </c>
      <c r="AH9" s="249">
        <f t="shared" si="3"/>
        <v>172</v>
      </c>
      <c r="AJ9" s="116" t="s">
        <v>40</v>
      </c>
      <c r="AK9" s="249">
        <f t="shared" ref="AK9:AQ10" si="4">AK13+AK20</f>
        <v>1.7999999999999998</v>
      </c>
      <c r="AL9" s="249">
        <f t="shared" si="4"/>
        <v>168</v>
      </c>
      <c r="AM9" s="249">
        <f t="shared" si="4"/>
        <v>119</v>
      </c>
      <c r="AN9" s="249">
        <f t="shared" si="4"/>
        <v>0</v>
      </c>
      <c r="AO9" s="249">
        <f t="shared" si="4"/>
        <v>0</v>
      </c>
      <c r="AP9" s="249">
        <f t="shared" si="4"/>
        <v>16</v>
      </c>
      <c r="AQ9" s="249">
        <f t="shared" si="4"/>
        <v>103</v>
      </c>
    </row>
    <row r="10" spans="1:44" s="115" customFormat="1">
      <c r="A10" s="7" t="s">
        <v>41</v>
      </c>
      <c r="B10" s="263">
        <f>+K10+S10+AK10</f>
        <v>455.3</v>
      </c>
      <c r="C10" s="64">
        <f>+L10+T10+AL10</f>
        <v>28300</v>
      </c>
      <c r="D10" s="64">
        <f>E10+F10+G10+H10</f>
        <v>25124</v>
      </c>
      <c r="E10" s="64">
        <f t="shared" si="0"/>
        <v>3648</v>
      </c>
      <c r="F10" s="64">
        <f t="shared" si="0"/>
        <v>4510</v>
      </c>
      <c r="G10" s="64">
        <f t="shared" si="0"/>
        <v>726</v>
      </c>
      <c r="H10" s="64">
        <f t="shared" si="0"/>
        <v>16240</v>
      </c>
      <c r="J10" s="7" t="s">
        <v>41</v>
      </c>
      <c r="K10" s="64">
        <f>K14+K21</f>
        <v>128</v>
      </c>
      <c r="L10" s="64">
        <f>L14+L21</f>
        <v>4965</v>
      </c>
      <c r="M10" s="64">
        <f>N10+O10+P10+Q10</f>
        <v>4204</v>
      </c>
      <c r="N10" s="64">
        <f>N14+N21</f>
        <v>418</v>
      </c>
      <c r="O10" s="64">
        <f>O14+O21</f>
        <v>1219</v>
      </c>
      <c r="P10" s="64">
        <f>P14+P21</f>
        <v>169</v>
      </c>
      <c r="Q10" s="64">
        <f>Q14+Q21</f>
        <v>2398</v>
      </c>
      <c r="R10" s="7" t="s">
        <v>41</v>
      </c>
      <c r="S10" s="187">
        <f t="shared" si="2"/>
        <v>313.7</v>
      </c>
      <c r="T10" s="64">
        <f>T14+T21</f>
        <v>21135</v>
      </c>
      <c r="U10" s="64">
        <f>U14+U21</f>
        <v>18820</v>
      </c>
      <c r="V10" s="64">
        <f>V14+V21</f>
        <v>3230</v>
      </c>
      <c r="W10" s="64">
        <f t="shared" si="2"/>
        <v>3291</v>
      </c>
      <c r="X10" s="64">
        <f>X14+X21</f>
        <v>557</v>
      </c>
      <c r="Y10" s="264">
        <f t="shared" si="2"/>
        <v>11742</v>
      </c>
      <c r="Z10" s="252"/>
      <c r="AA10" s="65" t="s">
        <v>41</v>
      </c>
      <c r="AB10" s="64">
        <f t="shared" si="3"/>
        <v>0</v>
      </c>
      <c r="AC10" s="64">
        <f>AC14+AC21</f>
        <v>0</v>
      </c>
      <c r="AD10" s="64">
        <f t="shared" si="3"/>
        <v>0</v>
      </c>
      <c r="AE10" s="64">
        <f t="shared" si="3"/>
        <v>0</v>
      </c>
      <c r="AF10" s="64">
        <f t="shared" si="3"/>
        <v>0</v>
      </c>
      <c r="AG10" s="64">
        <f t="shared" si="3"/>
        <v>0</v>
      </c>
      <c r="AH10" s="64">
        <f t="shared" si="3"/>
        <v>0</v>
      </c>
      <c r="AJ10" s="7" t="s">
        <v>41</v>
      </c>
      <c r="AK10" s="251">
        <f t="shared" si="4"/>
        <v>13.6</v>
      </c>
      <c r="AL10" s="188">
        <f t="shared" si="4"/>
        <v>2200</v>
      </c>
      <c r="AM10" s="188">
        <f t="shared" si="4"/>
        <v>2100</v>
      </c>
      <c r="AN10" s="188">
        <f t="shared" si="4"/>
        <v>0</v>
      </c>
      <c r="AO10" s="188">
        <f t="shared" si="4"/>
        <v>0</v>
      </c>
      <c r="AP10" s="188">
        <f t="shared" si="4"/>
        <v>0</v>
      </c>
      <c r="AQ10" s="188">
        <f t="shared" si="4"/>
        <v>2100</v>
      </c>
    </row>
    <row r="11" spans="1:44" s="115" customFormat="1">
      <c r="A11" s="33" t="s">
        <v>20</v>
      </c>
      <c r="B11" s="188">
        <f t="shared" ref="B11:H11" si="5">B10/B9*100</f>
        <v>97.977189584678285</v>
      </c>
      <c r="C11" s="188">
        <f t="shared" si="5"/>
        <v>101.36103151862463</v>
      </c>
      <c r="D11" s="188">
        <f t="shared" si="5"/>
        <v>106.41253706056754</v>
      </c>
      <c r="E11" s="188">
        <f t="shared" si="5"/>
        <v>83.344756682659366</v>
      </c>
      <c r="F11" s="188">
        <f t="shared" si="5"/>
        <v>59.482986019519913</v>
      </c>
      <c r="G11" s="188">
        <f t="shared" si="5"/>
        <v>81.208053691275168</v>
      </c>
      <c r="H11" s="188">
        <f t="shared" si="5"/>
        <v>150.97146044436181</v>
      </c>
      <c r="I11" s="303"/>
      <c r="J11" s="33" t="s">
        <v>20</v>
      </c>
      <c r="K11" s="188">
        <f t="shared" ref="K11:Q11" si="6">K10/K9*100</f>
        <v>77.575757575757578</v>
      </c>
      <c r="L11" s="188">
        <f t="shared" si="6"/>
        <v>87.013669821240796</v>
      </c>
      <c r="M11" s="188">
        <f t="shared" si="6"/>
        <v>90.156551576238471</v>
      </c>
      <c r="N11" s="188">
        <f t="shared" si="6"/>
        <v>65.210608424336968</v>
      </c>
      <c r="O11" s="188">
        <f t="shared" si="6"/>
        <v>68.253079507278841</v>
      </c>
      <c r="P11" s="188">
        <f t="shared" si="6"/>
        <v>60.142348754448392</v>
      </c>
      <c r="Q11" s="188">
        <f t="shared" si="6"/>
        <v>122.65984654731459</v>
      </c>
      <c r="R11" s="33" t="s">
        <v>20</v>
      </c>
      <c r="S11" s="188">
        <f t="shared" ref="S11:Y11" si="7">S10/S9*100</f>
        <v>105.30379321920105</v>
      </c>
      <c r="T11" s="188">
        <f t="shared" si="7"/>
        <v>95.867731107683923</v>
      </c>
      <c r="U11" s="188">
        <f t="shared" si="7"/>
        <v>99.957510091353313</v>
      </c>
      <c r="V11" s="188">
        <f t="shared" si="7"/>
        <v>86.45610278372591</v>
      </c>
      <c r="W11" s="188">
        <f t="shared" si="7"/>
        <v>56.780538302277428</v>
      </c>
      <c r="X11" s="188">
        <f t="shared" si="7"/>
        <v>93.299832495812396</v>
      </c>
      <c r="Y11" s="265">
        <f t="shared" si="7"/>
        <v>134.98103230256351</v>
      </c>
      <c r="Z11" s="253"/>
      <c r="AA11" s="63" t="s">
        <v>20</v>
      </c>
      <c r="AB11" s="188">
        <f t="shared" ref="AB11:AH11" si="8">AB10/AB9*100</f>
        <v>0</v>
      </c>
      <c r="AC11" s="188">
        <f t="shared" si="8"/>
        <v>0</v>
      </c>
      <c r="AD11" s="188">
        <f t="shared" si="8"/>
        <v>0</v>
      </c>
      <c r="AE11" s="188">
        <f t="shared" si="8"/>
        <v>0</v>
      </c>
      <c r="AF11" s="188">
        <f t="shared" si="8"/>
        <v>0</v>
      </c>
      <c r="AG11" s="188">
        <f t="shared" si="8"/>
        <v>0</v>
      </c>
      <c r="AH11" s="188">
        <f t="shared" si="8"/>
        <v>0</v>
      </c>
      <c r="AI11" s="303"/>
      <c r="AJ11" s="33" t="s">
        <v>20</v>
      </c>
      <c r="AK11" s="188">
        <f t="shared" ref="AK11:AQ11" si="9">AK10/AK9*100</f>
        <v>755.55555555555566</v>
      </c>
      <c r="AL11" s="188">
        <f t="shared" si="9"/>
        <v>1309.5238095238094</v>
      </c>
      <c r="AM11" s="188">
        <f t="shared" si="9"/>
        <v>1764.7058823529412</v>
      </c>
      <c r="AN11" s="188" t="e">
        <f t="shared" si="9"/>
        <v>#DIV/0!</v>
      </c>
      <c r="AO11" s="188" t="e">
        <f t="shared" si="9"/>
        <v>#DIV/0!</v>
      </c>
      <c r="AP11" s="188">
        <f t="shared" si="9"/>
        <v>0</v>
      </c>
      <c r="AQ11" s="188">
        <f t="shared" si="9"/>
        <v>2038.8349514563106</v>
      </c>
    </row>
    <row r="12" spans="1:44">
      <c r="A12" s="6" t="s">
        <v>11</v>
      </c>
      <c r="B12" s="232"/>
      <c r="C12" s="232"/>
      <c r="D12" s="232"/>
      <c r="E12" s="232"/>
      <c r="F12" s="232"/>
      <c r="G12" s="232"/>
      <c r="H12" s="232"/>
      <c r="J12" s="6" t="s">
        <v>11</v>
      </c>
      <c r="K12" s="232"/>
      <c r="L12" s="232"/>
      <c r="M12" s="232"/>
      <c r="N12" s="232"/>
      <c r="O12" s="232"/>
      <c r="P12" s="232"/>
      <c r="Q12" s="232"/>
      <c r="R12" s="6" t="s">
        <v>11</v>
      </c>
      <c r="S12" s="232"/>
      <c r="T12" s="232"/>
      <c r="U12" s="232"/>
      <c r="V12" s="232"/>
      <c r="W12" s="232"/>
      <c r="X12" s="232"/>
      <c r="Y12" s="66"/>
      <c r="Z12" s="67"/>
      <c r="AA12" s="68" t="s">
        <v>11</v>
      </c>
      <c r="AB12" s="232"/>
      <c r="AC12" s="232"/>
      <c r="AD12" s="64"/>
      <c r="AE12" s="232"/>
      <c r="AF12" s="232"/>
      <c r="AG12" s="232"/>
      <c r="AH12" s="232"/>
      <c r="AJ12" s="6" t="s">
        <v>11</v>
      </c>
      <c r="AK12" s="232"/>
      <c r="AL12" s="232"/>
      <c r="AM12" s="232"/>
      <c r="AN12" s="232"/>
      <c r="AO12" s="232"/>
      <c r="AP12" s="232"/>
      <c r="AQ12" s="232"/>
    </row>
    <row r="13" spans="1:44" s="219" customFormat="1">
      <c r="A13" s="118" t="s">
        <v>40</v>
      </c>
      <c r="B13" s="119">
        <f>+K13+S13+AK13</f>
        <v>17.900000000000002</v>
      </c>
      <c r="C13" s="119">
        <f>+L13+T13+AL13</f>
        <v>990</v>
      </c>
      <c r="D13" s="119">
        <f>E13+F13+G13+H13</f>
        <v>749</v>
      </c>
      <c r="E13" s="119">
        <f t="shared" ref="E13:H14" si="10">+N13+V13+AN13</f>
        <v>191</v>
      </c>
      <c r="F13" s="119">
        <f t="shared" si="10"/>
        <v>380</v>
      </c>
      <c r="G13" s="119">
        <f t="shared" si="10"/>
        <v>42</v>
      </c>
      <c r="H13" s="119">
        <f t="shared" si="10"/>
        <v>136</v>
      </c>
      <c r="J13" s="118" t="s">
        <v>40</v>
      </c>
      <c r="K13" s="119">
        <v>17.600000000000001</v>
      </c>
      <c r="L13" s="119">
        <v>964</v>
      </c>
      <c r="M13" s="119">
        <f>N13+O13+P13+Q13</f>
        <v>729</v>
      </c>
      <c r="N13" s="119">
        <v>185</v>
      </c>
      <c r="O13" s="119">
        <v>370</v>
      </c>
      <c r="P13" s="119">
        <v>41</v>
      </c>
      <c r="Q13" s="119">
        <v>133</v>
      </c>
      <c r="R13" s="118" t="s">
        <v>40</v>
      </c>
      <c r="S13" s="119">
        <v>0.3</v>
      </c>
      <c r="T13" s="119">
        <v>26</v>
      </c>
      <c r="U13" s="119">
        <f>V13+W13+X13+Y13</f>
        <v>20</v>
      </c>
      <c r="V13" s="119">
        <v>6</v>
      </c>
      <c r="W13" s="119">
        <v>10</v>
      </c>
      <c r="X13" s="119">
        <v>1</v>
      </c>
      <c r="Y13" s="266">
        <v>3</v>
      </c>
      <c r="Z13" s="254"/>
      <c r="AA13" s="120" t="s">
        <v>40</v>
      </c>
      <c r="AB13" s="119"/>
      <c r="AC13" s="119"/>
      <c r="AD13" s="119">
        <f>AE13+AF13+AG13+AH13</f>
        <v>0</v>
      </c>
      <c r="AE13" s="119"/>
      <c r="AF13" s="119"/>
      <c r="AG13" s="119"/>
      <c r="AH13" s="119"/>
      <c r="AJ13" s="118" t="s">
        <v>40</v>
      </c>
      <c r="AK13" s="119"/>
      <c r="AL13" s="119"/>
      <c r="AM13" s="176">
        <f>SUM(AN13:AQ13)</f>
        <v>0</v>
      </c>
      <c r="AN13" s="119"/>
      <c r="AO13" s="119"/>
      <c r="AP13" s="119"/>
      <c r="AQ13" s="119"/>
    </row>
    <row r="14" spans="1:44">
      <c r="A14" s="69" t="s">
        <v>41</v>
      </c>
      <c r="B14" s="267">
        <f>+K14+S14+AK14</f>
        <v>32.6</v>
      </c>
      <c r="C14" s="232">
        <f>+L14+T14+AL14</f>
        <v>2970</v>
      </c>
      <c r="D14" s="232">
        <f>E14+F14+G14+H14</f>
        <v>2690</v>
      </c>
      <c r="E14" s="232">
        <f t="shared" si="10"/>
        <v>155</v>
      </c>
      <c r="F14" s="232">
        <f t="shared" si="10"/>
        <v>254</v>
      </c>
      <c r="G14" s="232">
        <f t="shared" si="10"/>
        <v>6</v>
      </c>
      <c r="H14" s="232">
        <f t="shared" si="10"/>
        <v>2275</v>
      </c>
      <c r="J14" s="69" t="s">
        <v>41</v>
      </c>
      <c r="K14" s="232">
        <v>17.600000000000001</v>
      </c>
      <c r="L14" s="232">
        <v>690</v>
      </c>
      <c r="M14" s="232">
        <f>N14+O14+P14+Q14</f>
        <v>528</v>
      </c>
      <c r="N14" s="232">
        <v>145</v>
      </c>
      <c r="O14" s="232">
        <v>237</v>
      </c>
      <c r="P14" s="232">
        <v>6</v>
      </c>
      <c r="Q14" s="232">
        <v>140</v>
      </c>
      <c r="R14" s="69" t="s">
        <v>41</v>
      </c>
      <c r="S14" s="232">
        <v>1.4</v>
      </c>
      <c r="T14" s="232">
        <v>80</v>
      </c>
      <c r="U14" s="232">
        <f>V14+W14+X14+Y14</f>
        <v>62</v>
      </c>
      <c r="V14" s="232">
        <v>10</v>
      </c>
      <c r="W14" s="232">
        <v>17</v>
      </c>
      <c r="X14" s="232"/>
      <c r="Y14" s="66">
        <v>35</v>
      </c>
      <c r="Z14" s="67"/>
      <c r="AA14" s="70" t="s">
        <v>41</v>
      </c>
      <c r="AB14" s="232">
        <v>0</v>
      </c>
      <c r="AC14" s="232">
        <v>0</v>
      </c>
      <c r="AD14" s="379">
        <f>AE14+AF14+AG14+AH14</f>
        <v>0</v>
      </c>
      <c r="AE14" s="232">
        <v>0</v>
      </c>
      <c r="AF14" s="232">
        <v>0</v>
      </c>
      <c r="AG14" s="232">
        <v>0</v>
      </c>
      <c r="AH14" s="232">
        <v>0</v>
      </c>
      <c r="AJ14" s="69" t="s">
        <v>41</v>
      </c>
      <c r="AK14" s="232">
        <v>13.6</v>
      </c>
      <c r="AL14" s="232">
        <v>2200</v>
      </c>
      <c r="AM14" s="232">
        <f>AN14+AO14+AP14+AQ14</f>
        <v>2100</v>
      </c>
      <c r="AN14" s="232"/>
      <c r="AO14" s="232"/>
      <c r="AP14" s="232"/>
      <c r="AQ14" s="232">
        <v>2100</v>
      </c>
    </row>
    <row r="15" spans="1:44">
      <c r="A15" s="6" t="s">
        <v>20</v>
      </c>
      <c r="B15" s="51">
        <f t="shared" ref="B15:H15" si="11">B14/B13*100</f>
        <v>182.12290502793294</v>
      </c>
      <c r="C15" s="51">
        <f t="shared" si="11"/>
        <v>300</v>
      </c>
      <c r="D15" s="51">
        <f t="shared" si="11"/>
        <v>359.14552736982643</v>
      </c>
      <c r="E15" s="51">
        <f t="shared" si="11"/>
        <v>81.15183246073299</v>
      </c>
      <c r="F15" s="51">
        <f t="shared" si="11"/>
        <v>66.84210526315789</v>
      </c>
      <c r="G15" s="51">
        <f t="shared" si="11"/>
        <v>14.285714285714285</v>
      </c>
      <c r="H15" s="51">
        <f t="shared" si="11"/>
        <v>1672.7941176470588</v>
      </c>
      <c r="I15" s="21"/>
      <c r="J15" s="6" t="s">
        <v>20</v>
      </c>
      <c r="K15" s="51">
        <f t="shared" ref="K15:Q15" si="12">K14/K13*100</f>
        <v>100</v>
      </c>
      <c r="L15" s="51">
        <f t="shared" si="12"/>
        <v>71.576763485477173</v>
      </c>
      <c r="M15" s="51">
        <f t="shared" si="12"/>
        <v>72.427983539094654</v>
      </c>
      <c r="N15" s="51">
        <f t="shared" si="12"/>
        <v>78.378378378378372</v>
      </c>
      <c r="O15" s="51">
        <f t="shared" si="12"/>
        <v>64.054054054054049</v>
      </c>
      <c r="P15" s="51">
        <f t="shared" si="12"/>
        <v>14.634146341463413</v>
      </c>
      <c r="Q15" s="51">
        <f t="shared" si="12"/>
        <v>105.26315789473684</v>
      </c>
      <c r="R15" s="6" t="s">
        <v>20</v>
      </c>
      <c r="S15" s="51">
        <f t="shared" ref="S15:Y15" si="13">S14/S13*100</f>
        <v>466.66666666666669</v>
      </c>
      <c r="T15" s="51">
        <f t="shared" si="13"/>
        <v>307.69230769230774</v>
      </c>
      <c r="U15" s="51">
        <f t="shared" si="13"/>
        <v>310</v>
      </c>
      <c r="V15" s="51">
        <f t="shared" si="13"/>
        <v>166.66666666666669</v>
      </c>
      <c r="W15" s="51">
        <f t="shared" si="13"/>
        <v>170</v>
      </c>
      <c r="X15" s="51">
        <f t="shared" si="13"/>
        <v>0</v>
      </c>
      <c r="Y15" s="121">
        <f t="shared" si="13"/>
        <v>1166.6666666666665</v>
      </c>
      <c r="Z15" s="67"/>
      <c r="AA15" s="68" t="s">
        <v>20</v>
      </c>
      <c r="AB15" s="232" t="e">
        <f t="shared" ref="AB15:AH15" si="14">AB14/AB13*100</f>
        <v>#DIV/0!</v>
      </c>
      <c r="AC15" s="232" t="e">
        <f t="shared" si="14"/>
        <v>#DIV/0!</v>
      </c>
      <c r="AD15" s="232" t="e">
        <f t="shared" si="14"/>
        <v>#DIV/0!</v>
      </c>
      <c r="AE15" s="232" t="e">
        <f t="shared" si="14"/>
        <v>#DIV/0!</v>
      </c>
      <c r="AF15" s="232" t="e">
        <f t="shared" si="14"/>
        <v>#DIV/0!</v>
      </c>
      <c r="AG15" s="232" t="e">
        <f t="shared" si="14"/>
        <v>#DIV/0!</v>
      </c>
      <c r="AH15" s="232" t="e">
        <f t="shared" si="14"/>
        <v>#DIV/0!</v>
      </c>
      <c r="AJ15" s="6" t="s">
        <v>20</v>
      </c>
      <c r="AK15" s="51" t="e">
        <f t="shared" ref="AK15:AQ15" si="15">AK14/AK13*100</f>
        <v>#DIV/0!</v>
      </c>
      <c r="AL15" s="51" t="e">
        <f t="shared" si="15"/>
        <v>#DIV/0!</v>
      </c>
      <c r="AM15" s="51" t="e">
        <f t="shared" si="15"/>
        <v>#DIV/0!</v>
      </c>
      <c r="AN15" s="51" t="e">
        <f t="shared" si="15"/>
        <v>#DIV/0!</v>
      </c>
      <c r="AO15" s="51" t="e">
        <f t="shared" si="15"/>
        <v>#DIV/0!</v>
      </c>
      <c r="AP15" s="51" t="e">
        <f t="shared" si="15"/>
        <v>#DIV/0!</v>
      </c>
      <c r="AQ15" s="51" t="e">
        <f t="shared" si="15"/>
        <v>#DIV/0!</v>
      </c>
    </row>
    <row r="16" spans="1:44">
      <c r="A16" s="6" t="s">
        <v>13</v>
      </c>
      <c r="B16" s="232">
        <f t="shared" ref="B16:C18" si="16">+K16+S16+AK16</f>
        <v>3.2</v>
      </c>
      <c r="C16" s="232">
        <f t="shared" si="16"/>
        <v>120</v>
      </c>
      <c r="D16" s="232">
        <f>E16+F16+G16+H16</f>
        <v>97</v>
      </c>
      <c r="E16" s="232">
        <f t="shared" ref="E16:H18" si="17">+N16+V16+AN16</f>
        <v>32</v>
      </c>
      <c r="F16" s="232">
        <f t="shared" si="17"/>
        <v>16</v>
      </c>
      <c r="G16" s="232">
        <f t="shared" si="17"/>
        <v>0</v>
      </c>
      <c r="H16" s="232">
        <f t="shared" si="17"/>
        <v>49</v>
      </c>
      <c r="J16" s="6" t="s">
        <v>13</v>
      </c>
      <c r="K16" s="232">
        <v>3.2</v>
      </c>
      <c r="L16" s="232">
        <v>120</v>
      </c>
      <c r="M16" s="232">
        <f>N16+O16+P16+Q16</f>
        <v>97</v>
      </c>
      <c r="N16" s="232">
        <v>32</v>
      </c>
      <c r="O16" s="232">
        <v>16</v>
      </c>
      <c r="P16" s="232"/>
      <c r="Q16" s="232">
        <v>49</v>
      </c>
      <c r="R16" s="6" t="s">
        <v>13</v>
      </c>
      <c r="S16" s="232"/>
      <c r="T16" s="232"/>
      <c r="U16" s="232"/>
      <c r="V16" s="232"/>
      <c r="W16" s="232"/>
      <c r="X16" s="232"/>
      <c r="Y16" s="66"/>
      <c r="Z16" s="67"/>
      <c r="AA16" s="68" t="s">
        <v>13</v>
      </c>
      <c r="AB16" s="232"/>
      <c r="AC16" s="232"/>
      <c r="AD16" s="232"/>
      <c r="AE16" s="232"/>
      <c r="AF16" s="232"/>
      <c r="AG16" s="232"/>
      <c r="AH16" s="232"/>
      <c r="AJ16" s="6" t="s">
        <v>13</v>
      </c>
      <c r="AK16" s="232"/>
      <c r="AL16" s="232"/>
      <c r="AM16" s="51">
        <f>SUM(AN16:AQ16)</f>
        <v>0</v>
      </c>
      <c r="AN16" s="232"/>
      <c r="AO16" s="232"/>
      <c r="AP16" s="232"/>
      <c r="AQ16" s="232"/>
    </row>
    <row r="17" spans="1:43">
      <c r="A17" s="6" t="s">
        <v>14</v>
      </c>
      <c r="B17" s="232">
        <f t="shared" si="16"/>
        <v>13.6</v>
      </c>
      <c r="C17" s="232">
        <f t="shared" si="16"/>
        <v>2200</v>
      </c>
      <c r="D17" s="232">
        <f>E17+F17+G17+H17</f>
        <v>2100</v>
      </c>
      <c r="E17" s="232">
        <f t="shared" si="17"/>
        <v>0</v>
      </c>
      <c r="F17" s="232">
        <f t="shared" si="17"/>
        <v>0</v>
      </c>
      <c r="G17" s="232">
        <f t="shared" si="17"/>
        <v>0</v>
      </c>
      <c r="H17" s="232">
        <f t="shared" si="17"/>
        <v>2100</v>
      </c>
      <c r="J17" s="6" t="s">
        <v>14</v>
      </c>
      <c r="K17" s="232"/>
      <c r="L17" s="232"/>
      <c r="M17" s="232">
        <f>N17+O17+P17+Q17</f>
        <v>0</v>
      </c>
      <c r="N17" s="232"/>
      <c r="O17" s="232"/>
      <c r="P17" s="232"/>
      <c r="Q17" s="232"/>
      <c r="R17" s="6" t="s">
        <v>14</v>
      </c>
      <c r="S17" s="232"/>
      <c r="T17" s="232"/>
      <c r="U17" s="232"/>
      <c r="V17" s="232"/>
      <c r="W17" s="232"/>
      <c r="X17" s="232"/>
      <c r="Y17" s="66"/>
      <c r="Z17" s="67"/>
      <c r="AA17" s="68" t="s">
        <v>14</v>
      </c>
      <c r="AB17" s="232"/>
      <c r="AC17" s="232"/>
      <c r="AD17" s="232"/>
      <c r="AE17" s="232"/>
      <c r="AF17" s="232"/>
      <c r="AG17" s="232"/>
      <c r="AH17" s="232"/>
      <c r="AJ17" s="6" t="s">
        <v>14</v>
      </c>
      <c r="AK17" s="232">
        <v>13.6</v>
      </c>
      <c r="AL17" s="232">
        <v>2200</v>
      </c>
      <c r="AM17" s="51">
        <f>SUM(AN17:AQ17)</f>
        <v>2100</v>
      </c>
      <c r="AN17" s="232"/>
      <c r="AO17" s="232"/>
      <c r="AP17" s="232"/>
      <c r="AQ17" s="232">
        <v>2100</v>
      </c>
    </row>
    <row r="18" spans="1:43">
      <c r="A18" s="6" t="s">
        <v>15</v>
      </c>
      <c r="B18" s="232">
        <f t="shared" si="16"/>
        <v>0</v>
      </c>
      <c r="C18" s="232">
        <f t="shared" si="16"/>
        <v>0</v>
      </c>
      <c r="D18" s="232">
        <f>E18+F18+G18+H18</f>
        <v>0</v>
      </c>
      <c r="E18" s="232">
        <f t="shared" si="17"/>
        <v>0</v>
      </c>
      <c r="F18" s="232">
        <f t="shared" si="17"/>
        <v>0</v>
      </c>
      <c r="G18" s="232">
        <f t="shared" si="17"/>
        <v>0</v>
      </c>
      <c r="H18" s="232">
        <f t="shared" si="17"/>
        <v>0</v>
      </c>
      <c r="J18" s="6" t="s">
        <v>15</v>
      </c>
      <c r="K18" s="232"/>
      <c r="L18" s="232"/>
      <c r="M18" s="232"/>
      <c r="N18" s="232"/>
      <c r="O18" s="232"/>
      <c r="P18" s="232"/>
      <c r="Q18" s="232"/>
      <c r="R18" s="6" t="s">
        <v>15</v>
      </c>
      <c r="S18" s="232"/>
      <c r="T18" s="232"/>
      <c r="U18" s="232"/>
      <c r="V18" s="232"/>
      <c r="W18" s="232"/>
      <c r="X18" s="232"/>
      <c r="Y18" s="66"/>
      <c r="Z18" s="67"/>
      <c r="AA18" s="68" t="s">
        <v>15</v>
      </c>
      <c r="AB18" s="232"/>
      <c r="AC18" s="232"/>
      <c r="AD18" s="232"/>
      <c r="AE18" s="232"/>
      <c r="AF18" s="232"/>
      <c r="AG18" s="232"/>
      <c r="AH18" s="232"/>
      <c r="AJ18" s="6" t="s">
        <v>15</v>
      </c>
      <c r="AK18" s="232"/>
      <c r="AL18" s="232"/>
      <c r="AM18" s="232"/>
      <c r="AN18" s="232"/>
      <c r="AO18" s="232"/>
      <c r="AP18" s="232"/>
      <c r="AQ18" s="232"/>
    </row>
    <row r="19" spans="1:43">
      <c r="A19" s="6" t="s">
        <v>43</v>
      </c>
      <c r="B19" s="232"/>
      <c r="C19" s="232"/>
      <c r="D19" s="232">
        <f>E19+F19+G19+H19</f>
        <v>0</v>
      </c>
      <c r="E19" s="232"/>
      <c r="F19" s="232"/>
      <c r="G19" s="232"/>
      <c r="H19" s="232"/>
      <c r="J19" s="6" t="s">
        <v>43</v>
      </c>
      <c r="K19" s="232"/>
      <c r="L19" s="232"/>
      <c r="M19" s="232"/>
      <c r="N19" s="232"/>
      <c r="O19" s="232"/>
      <c r="P19" s="232"/>
      <c r="Q19" s="232"/>
      <c r="R19" s="6" t="s">
        <v>43</v>
      </c>
      <c r="S19" s="232"/>
      <c r="T19" s="232"/>
      <c r="U19" s="232"/>
      <c r="V19" s="232"/>
      <c r="W19" s="232"/>
      <c r="X19" s="232"/>
      <c r="Y19" s="66"/>
      <c r="Z19" s="67"/>
      <c r="AA19" s="68" t="s">
        <v>43</v>
      </c>
      <c r="AB19" s="232"/>
      <c r="AC19" s="232"/>
      <c r="AD19" s="232"/>
      <c r="AE19" s="232"/>
      <c r="AF19" s="232"/>
      <c r="AG19" s="232"/>
      <c r="AH19" s="232"/>
      <c r="AJ19" s="6" t="s">
        <v>43</v>
      </c>
      <c r="AK19" s="232"/>
      <c r="AL19" s="232"/>
      <c r="AM19" s="232"/>
      <c r="AN19" s="232"/>
      <c r="AO19" s="232"/>
      <c r="AP19" s="232"/>
      <c r="AQ19" s="232"/>
    </row>
    <row r="20" spans="1:43" s="219" customFormat="1">
      <c r="A20" s="118" t="s">
        <v>40</v>
      </c>
      <c r="B20" s="119">
        <f>+K20+S20+AK20</f>
        <v>446.8</v>
      </c>
      <c r="C20" s="119">
        <f>+L20+T20+AL20</f>
        <v>26930</v>
      </c>
      <c r="D20" s="119">
        <f>D23+D26+D29+D32+D35+D38</f>
        <v>22861</v>
      </c>
      <c r="E20" s="119">
        <f t="shared" ref="E20:H21" si="18">+N20+V20+AN20</f>
        <v>4186</v>
      </c>
      <c r="F20" s="119">
        <f t="shared" si="18"/>
        <v>7202</v>
      </c>
      <c r="G20" s="119">
        <f t="shared" si="18"/>
        <v>852</v>
      </c>
      <c r="H20" s="119">
        <f t="shared" si="18"/>
        <v>10621</v>
      </c>
      <c r="J20" s="118" t="s">
        <v>40</v>
      </c>
      <c r="K20" s="119">
        <f t="shared" ref="K20:Q20" si="19">K23+K26+K29+K32+K35+K38</f>
        <v>147.4</v>
      </c>
      <c r="L20" s="119">
        <f t="shared" si="19"/>
        <v>4742</v>
      </c>
      <c r="M20" s="119">
        <f t="shared" si="19"/>
        <v>3934</v>
      </c>
      <c r="N20" s="119">
        <f t="shared" si="19"/>
        <v>456</v>
      </c>
      <c r="O20" s="119">
        <f t="shared" si="19"/>
        <v>1416</v>
      </c>
      <c r="P20" s="119">
        <f t="shared" si="19"/>
        <v>240</v>
      </c>
      <c r="Q20" s="119">
        <f t="shared" si="19"/>
        <v>1822</v>
      </c>
      <c r="R20" s="118" t="s">
        <v>40</v>
      </c>
      <c r="S20" s="119">
        <f t="shared" ref="S20:Y20" si="20">S23+S26+S29+S32+S35+S38</f>
        <v>297.60000000000002</v>
      </c>
      <c r="T20" s="119">
        <f t="shared" si="20"/>
        <v>22020</v>
      </c>
      <c r="U20" s="119">
        <f t="shared" si="20"/>
        <v>18808</v>
      </c>
      <c r="V20" s="119">
        <f t="shared" si="20"/>
        <v>3730</v>
      </c>
      <c r="W20" s="119">
        <f t="shared" si="20"/>
        <v>5786</v>
      </c>
      <c r="X20" s="119">
        <f t="shared" si="20"/>
        <v>596</v>
      </c>
      <c r="Y20" s="266">
        <f t="shared" si="20"/>
        <v>8696</v>
      </c>
      <c r="Z20" s="254"/>
      <c r="AA20" s="120" t="s">
        <v>40</v>
      </c>
      <c r="AB20" s="119">
        <f t="shared" ref="AB20:AH21" si="21">AB23+AB26+AB29+AB32+AB35+AB38</f>
        <v>11.4</v>
      </c>
      <c r="AC20" s="119">
        <f t="shared" si="21"/>
        <v>722</v>
      </c>
      <c r="AD20" s="119">
        <f t="shared" si="21"/>
        <v>621</v>
      </c>
      <c r="AE20" s="119">
        <f t="shared" si="21"/>
        <v>248</v>
      </c>
      <c r="AF20" s="119">
        <f t="shared" si="21"/>
        <v>187</v>
      </c>
      <c r="AG20" s="119">
        <f t="shared" si="21"/>
        <v>14</v>
      </c>
      <c r="AH20" s="119">
        <f t="shared" si="21"/>
        <v>172</v>
      </c>
      <c r="AJ20" s="118" t="s">
        <v>40</v>
      </c>
      <c r="AK20" s="119">
        <f t="shared" ref="AK20:AQ21" si="22">AK23+AK26+AK29+AK32+AK35+AK38</f>
        <v>1.7999999999999998</v>
      </c>
      <c r="AL20" s="119">
        <f t="shared" si="22"/>
        <v>168</v>
      </c>
      <c r="AM20" s="119">
        <f t="shared" si="22"/>
        <v>119</v>
      </c>
      <c r="AN20" s="119">
        <f t="shared" si="22"/>
        <v>0</v>
      </c>
      <c r="AO20" s="119">
        <f t="shared" si="22"/>
        <v>0</v>
      </c>
      <c r="AP20" s="119">
        <f t="shared" si="22"/>
        <v>16</v>
      </c>
      <c r="AQ20" s="119">
        <f t="shared" si="22"/>
        <v>103</v>
      </c>
    </row>
    <row r="21" spans="1:43">
      <c r="A21" s="18" t="s">
        <v>41</v>
      </c>
      <c r="B21" s="267">
        <f>+K21+S21+AK21</f>
        <v>422.70000000000005</v>
      </c>
      <c r="C21" s="51">
        <f>+L21+T21+AL21</f>
        <v>25330</v>
      </c>
      <c r="D21" s="232">
        <f>E21+F21+G21+H21</f>
        <v>22434</v>
      </c>
      <c r="E21" s="232">
        <f t="shared" si="18"/>
        <v>3493</v>
      </c>
      <c r="F21" s="232">
        <f t="shared" si="18"/>
        <v>4256</v>
      </c>
      <c r="G21" s="232">
        <f t="shared" si="18"/>
        <v>720</v>
      </c>
      <c r="H21" s="232">
        <f t="shared" si="18"/>
        <v>13965</v>
      </c>
      <c r="J21" s="18" t="s">
        <v>41</v>
      </c>
      <c r="K21" s="232">
        <f>K24+K27+K30+K33+K36+K39</f>
        <v>110.4</v>
      </c>
      <c r="L21" s="232">
        <f>L24+L27+L30+L33+L36+L39</f>
        <v>4275</v>
      </c>
      <c r="M21" s="232">
        <f>N21+O21+P21+Q21</f>
        <v>3676</v>
      </c>
      <c r="N21" s="232">
        <f>N24+N27+N30+N33+N36+N39</f>
        <v>273</v>
      </c>
      <c r="O21" s="232">
        <f>O24+O27+O30+O33+O36+O39</f>
        <v>982</v>
      </c>
      <c r="P21" s="232">
        <f>P24+P27+P30+P33+P36+P39</f>
        <v>163</v>
      </c>
      <c r="Q21" s="232">
        <f>Q24+Q27+Q30+Q33+Q36+Q39</f>
        <v>2258</v>
      </c>
      <c r="R21" s="18" t="s">
        <v>41</v>
      </c>
      <c r="S21" s="232">
        <f>S24+S27+S30+S33+S36+S39</f>
        <v>312.3</v>
      </c>
      <c r="T21" s="232">
        <f>T24+T27+T30+T33+T36+T39</f>
        <v>21055</v>
      </c>
      <c r="U21" s="232">
        <f>V21+W21+X21+Y21</f>
        <v>18758</v>
      </c>
      <c r="V21" s="232">
        <f>V24+V27+V30+V33+V36+V39</f>
        <v>3220</v>
      </c>
      <c r="W21" s="232">
        <f>W24+W27+W30+W33+W36+W39</f>
        <v>3274</v>
      </c>
      <c r="X21" s="232">
        <f>X24+X27+X30+X33+X36+X39</f>
        <v>557</v>
      </c>
      <c r="Y21" s="232">
        <f>Y24+Y27+Y30+Y33+Y36+Y39</f>
        <v>11707</v>
      </c>
      <c r="Z21" s="67"/>
      <c r="AA21" s="71" t="s">
        <v>41</v>
      </c>
      <c r="AB21" s="232">
        <f t="shared" si="21"/>
        <v>0</v>
      </c>
      <c r="AC21" s="232">
        <f t="shared" si="21"/>
        <v>0</v>
      </c>
      <c r="AD21" s="232">
        <f t="shared" si="21"/>
        <v>0</v>
      </c>
      <c r="AE21" s="232">
        <f t="shared" si="21"/>
        <v>0</v>
      </c>
      <c r="AF21" s="232">
        <f t="shared" si="21"/>
        <v>0</v>
      </c>
      <c r="AG21" s="232">
        <f t="shared" si="21"/>
        <v>0</v>
      </c>
      <c r="AH21" s="232">
        <f t="shared" si="21"/>
        <v>0</v>
      </c>
      <c r="AJ21" s="18" t="s">
        <v>41</v>
      </c>
      <c r="AK21" s="123">
        <f t="shared" si="22"/>
        <v>0</v>
      </c>
      <c r="AL21" s="51">
        <f t="shared" si="22"/>
        <v>0</v>
      </c>
      <c r="AM21" s="51">
        <f t="shared" si="22"/>
        <v>0</v>
      </c>
      <c r="AN21" s="51">
        <f t="shared" si="22"/>
        <v>0</v>
      </c>
      <c r="AO21" s="51">
        <f t="shared" si="22"/>
        <v>0</v>
      </c>
      <c r="AP21" s="51">
        <f t="shared" si="22"/>
        <v>0</v>
      </c>
      <c r="AQ21" s="51">
        <f t="shared" si="22"/>
        <v>0</v>
      </c>
    </row>
    <row r="22" spans="1:43">
      <c r="A22" s="6" t="s">
        <v>20</v>
      </c>
      <c r="B22" s="51">
        <f t="shared" ref="B22:H22" si="23">B21/B20*100</f>
        <v>94.606087735004479</v>
      </c>
      <c r="C22" s="51">
        <f t="shared" si="23"/>
        <v>94.058670627552914</v>
      </c>
      <c r="D22" s="51">
        <f t="shared" si="23"/>
        <v>98.132190192904943</v>
      </c>
      <c r="E22" s="51">
        <f t="shared" si="23"/>
        <v>83.444816053511701</v>
      </c>
      <c r="F22" s="51">
        <f t="shared" si="23"/>
        <v>59.094695917800607</v>
      </c>
      <c r="G22" s="51">
        <f t="shared" si="23"/>
        <v>84.507042253521121</v>
      </c>
      <c r="H22" s="51">
        <f t="shared" si="23"/>
        <v>131.48479427549196</v>
      </c>
      <c r="I22" s="21"/>
      <c r="J22" s="6" t="s">
        <v>20</v>
      </c>
      <c r="K22" s="51">
        <f t="shared" ref="K22:Q22" si="24">K21/K20*100</f>
        <v>74.898236092265947</v>
      </c>
      <c r="L22" s="51">
        <f t="shared" si="24"/>
        <v>90.151834668916067</v>
      </c>
      <c r="M22" s="51">
        <f t="shared" si="24"/>
        <v>93.441789527198779</v>
      </c>
      <c r="N22" s="51">
        <f t="shared" si="24"/>
        <v>59.868421052631582</v>
      </c>
      <c r="O22" s="51">
        <f t="shared" si="24"/>
        <v>69.350282485875709</v>
      </c>
      <c r="P22" s="51">
        <f t="shared" si="24"/>
        <v>67.916666666666671</v>
      </c>
      <c r="Q22" s="51">
        <f t="shared" si="24"/>
        <v>123.92974753018662</v>
      </c>
      <c r="R22" s="6" t="s">
        <v>20</v>
      </c>
      <c r="S22" s="51">
        <f t="shared" ref="S22:Y22" si="25">S21/S20*100</f>
        <v>104.93951612903226</v>
      </c>
      <c r="T22" s="51">
        <f t="shared" si="25"/>
        <v>95.617620345140779</v>
      </c>
      <c r="U22" s="51">
        <f t="shared" si="25"/>
        <v>99.734155678434718</v>
      </c>
      <c r="V22" s="51">
        <f t="shared" si="25"/>
        <v>86.327077747989279</v>
      </c>
      <c r="W22" s="51">
        <f t="shared" si="25"/>
        <v>56.584860006913239</v>
      </c>
      <c r="X22" s="51">
        <f t="shared" si="25"/>
        <v>93.456375838926178</v>
      </c>
      <c r="Y22" s="121">
        <f t="shared" si="25"/>
        <v>134.62511499540017</v>
      </c>
      <c r="Z22" s="72"/>
      <c r="AA22" s="68" t="s">
        <v>20</v>
      </c>
      <c r="AB22" s="51">
        <f t="shared" ref="AB22:AH22" si="26">AB21/AB20*100</f>
        <v>0</v>
      </c>
      <c r="AC22" s="51">
        <f t="shared" si="26"/>
        <v>0</v>
      </c>
      <c r="AD22" s="51">
        <f t="shared" si="26"/>
        <v>0</v>
      </c>
      <c r="AE22" s="51">
        <f t="shared" si="26"/>
        <v>0</v>
      </c>
      <c r="AF22" s="51">
        <f t="shared" si="26"/>
        <v>0</v>
      </c>
      <c r="AG22" s="51">
        <f t="shared" si="26"/>
        <v>0</v>
      </c>
      <c r="AH22" s="51">
        <f t="shared" si="26"/>
        <v>0</v>
      </c>
      <c r="AI22" s="21"/>
      <c r="AJ22" s="6" t="s">
        <v>20</v>
      </c>
      <c r="AK22" s="51">
        <f t="shared" ref="AK22:AQ22" si="27">AK21/AK20*100</f>
        <v>0</v>
      </c>
      <c r="AL22" s="51">
        <f t="shared" si="27"/>
        <v>0</v>
      </c>
      <c r="AM22" s="51">
        <f t="shared" si="27"/>
        <v>0</v>
      </c>
      <c r="AN22" s="51" t="e">
        <f t="shared" si="27"/>
        <v>#DIV/0!</v>
      </c>
      <c r="AO22" s="51" t="e">
        <f t="shared" si="27"/>
        <v>#DIV/0!</v>
      </c>
      <c r="AP22" s="51">
        <f t="shared" si="27"/>
        <v>0</v>
      </c>
      <c r="AQ22" s="51">
        <f t="shared" si="27"/>
        <v>0</v>
      </c>
    </row>
    <row r="23" spans="1:43" s="219" customFormat="1">
      <c r="A23" s="118" t="s">
        <v>21</v>
      </c>
      <c r="B23" s="119">
        <f>+K23+S23+AK23</f>
        <v>0</v>
      </c>
      <c r="C23" s="119">
        <f>+L23+T23+AL23</f>
        <v>0</v>
      </c>
      <c r="D23" s="119">
        <f>E23+F23+G23+H23</f>
        <v>0</v>
      </c>
      <c r="E23" s="119">
        <f t="shared" ref="E23:H24" si="28">+N23+V23+AN23</f>
        <v>0</v>
      </c>
      <c r="F23" s="119">
        <f t="shared" si="28"/>
        <v>0</v>
      </c>
      <c r="G23" s="119">
        <f t="shared" si="28"/>
        <v>0</v>
      </c>
      <c r="H23" s="119">
        <f t="shared" si="28"/>
        <v>0</v>
      </c>
      <c r="J23" s="118" t="s">
        <v>21</v>
      </c>
      <c r="K23" s="119"/>
      <c r="L23" s="119"/>
      <c r="M23" s="119">
        <f>N23+O23+P23+Q23</f>
        <v>0</v>
      </c>
      <c r="N23" s="119"/>
      <c r="O23" s="119"/>
      <c r="P23" s="119"/>
      <c r="Q23" s="119"/>
      <c r="R23" s="118" t="s">
        <v>21</v>
      </c>
      <c r="S23" s="119"/>
      <c r="T23" s="119"/>
      <c r="U23" s="119">
        <f>V23+W23+X23+Y23</f>
        <v>0</v>
      </c>
      <c r="V23" s="119"/>
      <c r="W23" s="119"/>
      <c r="X23" s="119"/>
      <c r="Y23" s="266"/>
      <c r="Z23" s="254"/>
      <c r="AA23" s="120" t="s">
        <v>21</v>
      </c>
      <c r="AB23" s="119"/>
      <c r="AC23" s="119"/>
      <c r="AD23" s="119">
        <f>AE23+AF23+AG23+AH23</f>
        <v>0</v>
      </c>
      <c r="AE23" s="119"/>
      <c r="AF23" s="119"/>
      <c r="AG23" s="119"/>
      <c r="AH23" s="119"/>
      <c r="AJ23" s="118" t="s">
        <v>21</v>
      </c>
      <c r="AK23" s="119"/>
      <c r="AL23" s="119"/>
      <c r="AM23" s="119">
        <f>AN23+AO23+AP23+AQ23</f>
        <v>0</v>
      </c>
      <c r="AN23" s="119"/>
      <c r="AO23" s="119"/>
      <c r="AP23" s="119"/>
      <c r="AQ23" s="119"/>
    </row>
    <row r="24" spans="1:43">
      <c r="A24" s="6" t="s">
        <v>22</v>
      </c>
      <c r="B24" s="232">
        <f>+K24+S24+AK24</f>
        <v>0.3</v>
      </c>
      <c r="C24" s="232">
        <f>+L24+T24+AL24</f>
        <v>10</v>
      </c>
      <c r="D24" s="232">
        <f>E24+F24+G24+H24</f>
        <v>6</v>
      </c>
      <c r="E24" s="232">
        <f t="shared" si="28"/>
        <v>1</v>
      </c>
      <c r="F24" s="232">
        <f t="shared" si="28"/>
        <v>0</v>
      </c>
      <c r="G24" s="232">
        <f t="shared" si="28"/>
        <v>0</v>
      </c>
      <c r="H24" s="232">
        <f t="shared" si="28"/>
        <v>5</v>
      </c>
      <c r="J24" s="6" t="s">
        <v>22</v>
      </c>
      <c r="K24" s="232">
        <v>0.3</v>
      </c>
      <c r="L24" s="232">
        <v>10</v>
      </c>
      <c r="M24" s="232">
        <f>SUM(N24:Q24)</f>
        <v>6</v>
      </c>
      <c r="N24" s="232">
        <v>1</v>
      </c>
      <c r="O24" s="232"/>
      <c r="P24" s="232"/>
      <c r="Q24" s="232">
        <v>5</v>
      </c>
      <c r="R24" s="6" t="s">
        <v>22</v>
      </c>
      <c r="S24" s="232"/>
      <c r="T24" s="232"/>
      <c r="U24" s="232">
        <f>V24+W24+X24+Y24</f>
        <v>0</v>
      </c>
      <c r="V24" s="232"/>
      <c r="W24" s="232"/>
      <c r="X24" s="232"/>
      <c r="Y24" s="66"/>
      <c r="Z24" s="67"/>
      <c r="AA24" s="68" t="s">
        <v>22</v>
      </c>
      <c r="AB24" s="232"/>
      <c r="AC24" s="232">
        <v>0</v>
      </c>
      <c r="AD24" s="232">
        <f>AE24+AF24+AG24+AH24</f>
        <v>0</v>
      </c>
      <c r="AE24" s="232">
        <v>0</v>
      </c>
      <c r="AF24" s="232">
        <v>0</v>
      </c>
      <c r="AG24" s="232"/>
      <c r="AH24" s="232">
        <v>0</v>
      </c>
      <c r="AJ24" s="6" t="s">
        <v>22</v>
      </c>
      <c r="AK24" s="232"/>
      <c r="AL24" s="232"/>
      <c r="AM24" s="232">
        <f>AN24+AO24+AP24+AQ24</f>
        <v>0</v>
      </c>
      <c r="AN24" s="232"/>
      <c r="AO24" s="232"/>
      <c r="AP24" s="232"/>
      <c r="AQ24" s="232"/>
    </row>
    <row r="25" spans="1:43">
      <c r="A25" s="6" t="s">
        <v>12</v>
      </c>
      <c r="B25" s="122" t="e">
        <f t="shared" ref="B25:G25" si="29">+B24/B23*100</f>
        <v>#DIV/0!</v>
      </c>
      <c r="C25" s="122" t="e">
        <f t="shared" si="29"/>
        <v>#DIV/0!</v>
      </c>
      <c r="D25" s="232" t="e">
        <f>E25+F25+G25+H25</f>
        <v>#DIV/0!</v>
      </c>
      <c r="E25" s="232" t="e">
        <f t="shared" si="29"/>
        <v>#DIV/0!</v>
      </c>
      <c r="F25" s="232" t="e">
        <f t="shared" si="29"/>
        <v>#DIV/0!</v>
      </c>
      <c r="G25" s="232" t="e">
        <f t="shared" si="29"/>
        <v>#DIV/0!</v>
      </c>
      <c r="H25" s="122" t="e">
        <f>+H24/H23*100</f>
        <v>#DIV/0!</v>
      </c>
      <c r="J25" s="6" t="s">
        <v>12</v>
      </c>
      <c r="K25" s="122" t="e">
        <f>K24/K23*100</f>
        <v>#DIV/0!</v>
      </c>
      <c r="L25" s="122" t="e">
        <f>L24/L23*100</f>
        <v>#DIV/0!</v>
      </c>
      <c r="M25" s="232" t="e">
        <f>N25+O25+P25+Q25</f>
        <v>#DIV/0!</v>
      </c>
      <c r="N25" s="122" t="e">
        <f>N24/N23*100</f>
        <v>#DIV/0!</v>
      </c>
      <c r="O25" s="122" t="e">
        <f>O24/O23*100</f>
        <v>#DIV/0!</v>
      </c>
      <c r="P25" s="122" t="e">
        <f>P24/P23*100</f>
        <v>#DIV/0!</v>
      </c>
      <c r="Q25" s="122" t="e">
        <f>Q24/Q23*100</f>
        <v>#DIV/0!</v>
      </c>
      <c r="R25" s="6" t="s">
        <v>12</v>
      </c>
      <c r="S25" s="122" t="e">
        <f t="shared" ref="S25:Y25" si="30">S24/S23*100</f>
        <v>#DIV/0!</v>
      </c>
      <c r="T25" s="122" t="e">
        <f t="shared" si="30"/>
        <v>#DIV/0!</v>
      </c>
      <c r="U25" s="122" t="e">
        <f t="shared" si="30"/>
        <v>#DIV/0!</v>
      </c>
      <c r="V25" s="122" t="e">
        <f t="shared" si="30"/>
        <v>#DIV/0!</v>
      </c>
      <c r="W25" s="122" t="e">
        <f t="shared" si="30"/>
        <v>#DIV/0!</v>
      </c>
      <c r="X25" s="122" t="e">
        <f t="shared" si="30"/>
        <v>#DIV/0!</v>
      </c>
      <c r="Y25" s="124" t="e">
        <f t="shared" si="30"/>
        <v>#DIV/0!</v>
      </c>
      <c r="Z25" s="67"/>
      <c r="AA25" s="68" t="s">
        <v>12</v>
      </c>
      <c r="AB25" s="51" t="e">
        <f t="shared" ref="AB25:AH25" si="31">AB24/AB23*100</f>
        <v>#DIV/0!</v>
      </c>
      <c r="AC25" s="51" t="e">
        <f t="shared" si="31"/>
        <v>#DIV/0!</v>
      </c>
      <c r="AD25" s="51" t="e">
        <f t="shared" si="31"/>
        <v>#DIV/0!</v>
      </c>
      <c r="AE25" s="51" t="e">
        <f t="shared" si="31"/>
        <v>#DIV/0!</v>
      </c>
      <c r="AF25" s="51" t="e">
        <f t="shared" si="31"/>
        <v>#DIV/0!</v>
      </c>
      <c r="AG25" s="51" t="e">
        <f t="shared" si="31"/>
        <v>#DIV/0!</v>
      </c>
      <c r="AH25" s="51" t="e">
        <f t="shared" si="31"/>
        <v>#DIV/0!</v>
      </c>
      <c r="AJ25" s="6" t="s">
        <v>12</v>
      </c>
      <c r="AK25" s="123" t="e">
        <f t="shared" ref="AK25:AQ25" si="32">AK24/AK23*100</f>
        <v>#DIV/0!</v>
      </c>
      <c r="AL25" s="123" t="e">
        <f t="shared" si="32"/>
        <v>#DIV/0!</v>
      </c>
      <c r="AM25" s="123" t="e">
        <f t="shared" si="32"/>
        <v>#DIV/0!</v>
      </c>
      <c r="AN25" s="123" t="e">
        <f t="shared" si="32"/>
        <v>#DIV/0!</v>
      </c>
      <c r="AO25" s="123" t="e">
        <f t="shared" si="32"/>
        <v>#DIV/0!</v>
      </c>
      <c r="AP25" s="123" t="e">
        <f t="shared" si="32"/>
        <v>#DIV/0!</v>
      </c>
      <c r="AQ25" s="123" t="e">
        <f t="shared" si="32"/>
        <v>#DIV/0!</v>
      </c>
    </row>
    <row r="26" spans="1:43" s="219" customFormat="1">
      <c r="A26" s="118" t="s">
        <v>23</v>
      </c>
      <c r="B26" s="119">
        <f>+K26+S26+AK26</f>
        <v>62.7</v>
      </c>
      <c r="C26" s="119">
        <f>+L26+T26+AL26</f>
        <v>2843</v>
      </c>
      <c r="D26" s="119">
        <f>E26+F26+G26+H26</f>
        <v>2456</v>
      </c>
      <c r="E26" s="119">
        <f t="shared" ref="E26:H27" si="33">+N26+V26+AN26</f>
        <v>461</v>
      </c>
      <c r="F26" s="119">
        <f t="shared" si="33"/>
        <v>607</v>
      </c>
      <c r="G26" s="119">
        <f t="shared" si="33"/>
        <v>62</v>
      </c>
      <c r="H26" s="119">
        <f t="shared" si="33"/>
        <v>1326</v>
      </c>
      <c r="J26" s="118" t="s">
        <v>23</v>
      </c>
      <c r="K26" s="119">
        <v>14</v>
      </c>
      <c r="L26" s="119">
        <v>440</v>
      </c>
      <c r="M26" s="119">
        <f>N26+O26+P26+Q26</f>
        <v>373</v>
      </c>
      <c r="N26" s="119">
        <v>69</v>
      </c>
      <c r="O26" s="119">
        <v>129</v>
      </c>
      <c r="P26" s="119">
        <v>27</v>
      </c>
      <c r="Q26" s="119">
        <v>148</v>
      </c>
      <c r="R26" s="118" t="s">
        <v>23</v>
      </c>
      <c r="S26" s="119">
        <v>48.7</v>
      </c>
      <c r="T26" s="119">
        <v>2400</v>
      </c>
      <c r="U26" s="119">
        <f>V26+W26+X26+Y26</f>
        <v>2081</v>
      </c>
      <c r="V26" s="119">
        <v>392</v>
      </c>
      <c r="W26" s="119">
        <v>478</v>
      </c>
      <c r="X26" s="119">
        <v>35</v>
      </c>
      <c r="Y26" s="266">
        <v>1176</v>
      </c>
      <c r="Z26" s="254"/>
      <c r="AA26" s="120" t="s">
        <v>23</v>
      </c>
      <c r="AB26" s="119">
        <v>2</v>
      </c>
      <c r="AC26" s="119">
        <v>62</v>
      </c>
      <c r="AD26" s="119">
        <f>AE26+AF26+AG26+AH26</f>
        <v>54</v>
      </c>
      <c r="AE26" s="119">
        <v>13</v>
      </c>
      <c r="AF26" s="119">
        <v>16</v>
      </c>
      <c r="AG26" s="119">
        <v>1</v>
      </c>
      <c r="AH26" s="119">
        <v>24</v>
      </c>
      <c r="AJ26" s="118" t="s">
        <v>23</v>
      </c>
      <c r="AK26" s="119"/>
      <c r="AL26" s="119">
        <v>3</v>
      </c>
      <c r="AM26" s="119">
        <f>AN26+AO26+AP26+AQ26</f>
        <v>2</v>
      </c>
      <c r="AN26" s="119"/>
      <c r="AO26" s="119"/>
      <c r="AP26" s="119"/>
      <c r="AQ26" s="119">
        <v>2</v>
      </c>
    </row>
    <row r="27" spans="1:43">
      <c r="A27" s="6" t="s">
        <v>24</v>
      </c>
      <c r="B27" s="267">
        <f>+K27+S27+AK27</f>
        <v>47.7</v>
      </c>
      <c r="C27" s="232">
        <f>+L27+T27+AL27</f>
        <v>2610</v>
      </c>
      <c r="D27" s="232">
        <f>E27+F27+G27+H27</f>
        <v>2314</v>
      </c>
      <c r="E27" s="232">
        <f t="shared" si="33"/>
        <v>534</v>
      </c>
      <c r="F27" s="232">
        <f t="shared" si="33"/>
        <v>317</v>
      </c>
      <c r="G27" s="232">
        <f t="shared" si="33"/>
        <v>30</v>
      </c>
      <c r="H27" s="232">
        <f t="shared" si="33"/>
        <v>1433</v>
      </c>
      <c r="J27" s="6" t="s">
        <v>24</v>
      </c>
      <c r="K27" s="232">
        <v>12.6</v>
      </c>
      <c r="L27" s="232">
        <v>490</v>
      </c>
      <c r="M27" s="232">
        <f>N27+O27+P27+Q27</f>
        <v>413</v>
      </c>
      <c r="N27" s="232">
        <v>66</v>
      </c>
      <c r="O27" s="232">
        <v>159</v>
      </c>
      <c r="P27" s="232">
        <v>27</v>
      </c>
      <c r="Q27" s="232">
        <v>161</v>
      </c>
      <c r="R27" s="6" t="s">
        <v>24</v>
      </c>
      <c r="S27" s="232">
        <v>35.1</v>
      </c>
      <c r="T27" s="232">
        <v>2120</v>
      </c>
      <c r="U27" s="232">
        <f>V27+W27+X27+Y27</f>
        <v>1901</v>
      </c>
      <c r="V27" s="232">
        <v>468</v>
      </c>
      <c r="W27" s="232">
        <v>158</v>
      </c>
      <c r="X27" s="232">
        <v>3</v>
      </c>
      <c r="Y27" s="232">
        <v>1272</v>
      </c>
      <c r="Z27" s="67"/>
      <c r="AA27" s="68" t="s">
        <v>24</v>
      </c>
      <c r="AB27" s="232"/>
      <c r="AC27" s="232"/>
      <c r="AD27" s="232">
        <f>AE27+AF27+AG27+AH27</f>
        <v>0</v>
      </c>
      <c r="AE27" s="232"/>
      <c r="AF27" s="232"/>
      <c r="AG27" s="232"/>
      <c r="AH27" s="232"/>
      <c r="AJ27" s="6" t="s">
        <v>24</v>
      </c>
      <c r="AK27" s="123"/>
      <c r="AL27" s="232"/>
      <c r="AM27" s="232">
        <f>AN27+AO27+AP27+AQ27</f>
        <v>0</v>
      </c>
      <c r="AN27" s="232"/>
      <c r="AO27" s="232"/>
      <c r="AP27" s="232"/>
      <c r="AQ27" s="232"/>
    </row>
    <row r="28" spans="1:43">
      <c r="A28" s="6" t="s">
        <v>12</v>
      </c>
      <c r="B28" s="51">
        <f t="shared" ref="B28:H28" si="34">B27/B26*100</f>
        <v>76.076555023923447</v>
      </c>
      <c r="C28" s="51">
        <f t="shared" si="34"/>
        <v>91.804431938093572</v>
      </c>
      <c r="D28" s="51">
        <f t="shared" si="34"/>
        <v>94.218241042345269</v>
      </c>
      <c r="E28" s="51">
        <f t="shared" si="34"/>
        <v>115.83514099783081</v>
      </c>
      <c r="F28" s="51">
        <f t="shared" si="34"/>
        <v>52.22405271828665</v>
      </c>
      <c r="G28" s="51">
        <f t="shared" si="34"/>
        <v>48.387096774193552</v>
      </c>
      <c r="H28" s="51">
        <f t="shared" si="34"/>
        <v>108.06938159879336</v>
      </c>
      <c r="I28" s="21"/>
      <c r="J28" s="6" t="s">
        <v>12</v>
      </c>
      <c r="K28" s="51">
        <f t="shared" ref="K28:Q28" si="35">K27/K26*100</f>
        <v>90</v>
      </c>
      <c r="L28" s="51">
        <f t="shared" si="35"/>
        <v>111.36363636363636</v>
      </c>
      <c r="M28" s="51">
        <f t="shared" si="35"/>
        <v>110.72386058981235</v>
      </c>
      <c r="N28" s="51">
        <f t="shared" si="35"/>
        <v>95.652173913043484</v>
      </c>
      <c r="O28" s="51">
        <f t="shared" si="35"/>
        <v>123.25581395348837</v>
      </c>
      <c r="P28" s="51">
        <f t="shared" si="35"/>
        <v>100</v>
      </c>
      <c r="Q28" s="51">
        <f t="shared" si="35"/>
        <v>108.78378378378379</v>
      </c>
      <c r="R28" s="6" t="s">
        <v>12</v>
      </c>
      <c r="S28" s="51">
        <f t="shared" ref="S28:Y28" si="36">S27/S26*100</f>
        <v>72.07392197125256</v>
      </c>
      <c r="T28" s="51">
        <f t="shared" si="36"/>
        <v>88.333333333333329</v>
      </c>
      <c r="U28" s="51">
        <f t="shared" si="36"/>
        <v>91.35031234983181</v>
      </c>
      <c r="V28" s="51">
        <f t="shared" si="36"/>
        <v>119.38775510204083</v>
      </c>
      <c r="W28" s="51">
        <f t="shared" si="36"/>
        <v>33.054393305439326</v>
      </c>
      <c r="X28" s="51">
        <f t="shared" si="36"/>
        <v>8.5714285714285712</v>
      </c>
      <c r="Y28" s="121">
        <f t="shared" si="36"/>
        <v>108.16326530612245</v>
      </c>
      <c r="Z28" s="72"/>
      <c r="AA28" s="68" t="s">
        <v>12</v>
      </c>
      <c r="AB28" s="51">
        <f t="shared" ref="AB28:AH28" si="37">AB27/AB26*100</f>
        <v>0</v>
      </c>
      <c r="AC28" s="51">
        <f t="shared" si="37"/>
        <v>0</v>
      </c>
      <c r="AD28" s="51">
        <f t="shared" si="37"/>
        <v>0</v>
      </c>
      <c r="AE28" s="51">
        <f t="shared" si="37"/>
        <v>0</v>
      </c>
      <c r="AF28" s="51">
        <f t="shared" si="37"/>
        <v>0</v>
      </c>
      <c r="AG28" s="51">
        <f t="shared" si="37"/>
        <v>0</v>
      </c>
      <c r="AH28" s="51">
        <f t="shared" si="37"/>
        <v>0</v>
      </c>
      <c r="AJ28" s="6" t="s">
        <v>12</v>
      </c>
      <c r="AK28" s="51" t="e">
        <f t="shared" ref="AK28:AQ28" si="38">AK27/AK26*100</f>
        <v>#DIV/0!</v>
      </c>
      <c r="AL28" s="51">
        <f t="shared" si="38"/>
        <v>0</v>
      </c>
      <c r="AM28" s="51">
        <f t="shared" si="38"/>
        <v>0</v>
      </c>
      <c r="AN28" s="232" t="e">
        <f t="shared" si="38"/>
        <v>#DIV/0!</v>
      </c>
      <c r="AO28" s="232" t="e">
        <f t="shared" si="38"/>
        <v>#DIV/0!</v>
      </c>
      <c r="AP28" s="232" t="e">
        <f t="shared" si="38"/>
        <v>#DIV/0!</v>
      </c>
      <c r="AQ28" s="51">
        <f t="shared" si="38"/>
        <v>0</v>
      </c>
    </row>
    <row r="29" spans="1:43" s="219" customFormat="1">
      <c r="A29" s="118" t="s">
        <v>25</v>
      </c>
      <c r="B29" s="119">
        <f>+K29+S29+AK29</f>
        <v>207</v>
      </c>
      <c r="C29" s="119">
        <f>+L29+T29+AL29</f>
        <v>11043</v>
      </c>
      <c r="D29" s="119">
        <f>E29+F29+G29+H29</f>
        <v>9223</v>
      </c>
      <c r="E29" s="119">
        <f t="shared" ref="E29:H30" si="39">+N29+V29+AN29</f>
        <v>2247</v>
      </c>
      <c r="F29" s="119">
        <f t="shared" si="39"/>
        <v>2864</v>
      </c>
      <c r="G29" s="119">
        <f t="shared" si="39"/>
        <v>248</v>
      </c>
      <c r="H29" s="119">
        <f t="shared" si="39"/>
        <v>3864</v>
      </c>
      <c r="J29" s="118" t="s">
        <v>25</v>
      </c>
      <c r="K29" s="119">
        <v>59.4</v>
      </c>
      <c r="L29" s="119">
        <v>1617</v>
      </c>
      <c r="M29" s="119">
        <f>N29+O29+P29+Q29</f>
        <v>1316</v>
      </c>
      <c r="N29" s="119">
        <v>99</v>
      </c>
      <c r="O29" s="119">
        <v>419</v>
      </c>
      <c r="P29" s="119">
        <v>53</v>
      </c>
      <c r="Q29" s="119">
        <v>745</v>
      </c>
      <c r="R29" s="118" t="s">
        <v>25</v>
      </c>
      <c r="S29" s="119">
        <v>146.4</v>
      </c>
      <c r="T29" s="119">
        <v>9300</v>
      </c>
      <c r="U29" s="119">
        <f>V29+W29+X29+Y29</f>
        <v>7818</v>
      </c>
      <c r="V29" s="119">
        <v>2148</v>
      </c>
      <c r="W29" s="119">
        <v>2445</v>
      </c>
      <c r="X29" s="119">
        <v>183</v>
      </c>
      <c r="Y29" s="266">
        <v>3042</v>
      </c>
      <c r="Z29" s="254"/>
      <c r="AA29" s="120" t="s">
        <v>25</v>
      </c>
      <c r="AB29" s="119">
        <v>4.3</v>
      </c>
      <c r="AC29" s="119">
        <v>170</v>
      </c>
      <c r="AD29" s="119">
        <f>AE29+AF29+AG29+AH29</f>
        <v>143</v>
      </c>
      <c r="AE29" s="119">
        <v>42</v>
      </c>
      <c r="AF29" s="119">
        <v>46</v>
      </c>
      <c r="AG29" s="119">
        <v>4</v>
      </c>
      <c r="AH29" s="119">
        <v>51</v>
      </c>
      <c r="AJ29" s="118" t="s">
        <v>25</v>
      </c>
      <c r="AK29" s="119">
        <v>1.2</v>
      </c>
      <c r="AL29" s="119">
        <v>126</v>
      </c>
      <c r="AM29" s="119">
        <f>AN29+AO29+AP29+AQ29</f>
        <v>89</v>
      </c>
      <c r="AN29" s="119"/>
      <c r="AO29" s="119"/>
      <c r="AP29" s="119">
        <v>12</v>
      </c>
      <c r="AQ29" s="119">
        <v>77</v>
      </c>
    </row>
    <row r="30" spans="1:43">
      <c r="A30" s="6" t="s">
        <v>26</v>
      </c>
      <c r="B30" s="267">
        <f>+K30+S30+AK30</f>
        <v>166.4</v>
      </c>
      <c r="C30" s="232">
        <f>+L30+T30+AL30</f>
        <v>9710</v>
      </c>
      <c r="D30" s="232">
        <f>E30+F30+G30+H30</f>
        <v>9090</v>
      </c>
      <c r="E30" s="232">
        <f t="shared" si="39"/>
        <v>2210</v>
      </c>
      <c r="F30" s="232">
        <f t="shared" si="39"/>
        <v>805</v>
      </c>
      <c r="G30" s="232">
        <f t="shared" si="39"/>
        <v>34</v>
      </c>
      <c r="H30" s="232">
        <f t="shared" si="39"/>
        <v>6041</v>
      </c>
      <c r="J30" s="6" t="s">
        <v>26</v>
      </c>
      <c r="K30" s="232">
        <v>30.3</v>
      </c>
      <c r="L30" s="232">
        <v>1160</v>
      </c>
      <c r="M30" s="232">
        <f>N30+O30+P30+Q30</f>
        <v>1041</v>
      </c>
      <c r="N30" s="232">
        <v>42</v>
      </c>
      <c r="O30" s="232">
        <v>197</v>
      </c>
      <c r="P30" s="232">
        <v>14</v>
      </c>
      <c r="Q30" s="232">
        <v>788</v>
      </c>
      <c r="R30" s="6" t="s">
        <v>26</v>
      </c>
      <c r="S30" s="232">
        <v>136.1</v>
      </c>
      <c r="T30" s="232">
        <v>8550</v>
      </c>
      <c r="U30" s="232">
        <f>V30+W30+X30+Y30</f>
        <v>8049</v>
      </c>
      <c r="V30" s="232">
        <v>2168</v>
      </c>
      <c r="W30" s="232">
        <v>608</v>
      </c>
      <c r="X30" s="232">
        <v>20</v>
      </c>
      <c r="Y30" s="232">
        <v>5253</v>
      </c>
      <c r="Z30" s="67"/>
      <c r="AA30" s="68" t="s">
        <v>26</v>
      </c>
      <c r="AB30" s="232"/>
      <c r="AC30" s="232"/>
      <c r="AD30" s="232">
        <f>AE30+AF30+AG30+AH30</f>
        <v>0</v>
      </c>
      <c r="AE30" s="232"/>
      <c r="AF30" s="232"/>
      <c r="AG30" s="232"/>
      <c r="AH30" s="232"/>
      <c r="AJ30" s="6" t="s">
        <v>26</v>
      </c>
      <c r="AK30" s="232"/>
      <c r="AL30" s="232"/>
      <c r="AM30" s="232">
        <f>AN30+AO30+AP30+AQ30</f>
        <v>0</v>
      </c>
      <c r="AN30" s="232"/>
      <c r="AO30" s="232"/>
      <c r="AP30" s="232"/>
      <c r="AQ30" s="232"/>
    </row>
    <row r="31" spans="1:43">
      <c r="A31" s="6" t="s">
        <v>12</v>
      </c>
      <c r="B31" s="51">
        <f t="shared" ref="B31:H31" si="40">B30/B29*100</f>
        <v>80.386473429951693</v>
      </c>
      <c r="C31" s="51">
        <f t="shared" si="40"/>
        <v>87.929004799420454</v>
      </c>
      <c r="D31" s="51">
        <f t="shared" si="40"/>
        <v>98.557952943727628</v>
      </c>
      <c r="E31" s="51">
        <f t="shared" si="40"/>
        <v>98.353360035603018</v>
      </c>
      <c r="F31" s="51">
        <f t="shared" si="40"/>
        <v>28.10754189944134</v>
      </c>
      <c r="G31" s="51">
        <f t="shared" si="40"/>
        <v>13.709677419354838</v>
      </c>
      <c r="H31" s="51">
        <f t="shared" si="40"/>
        <v>156.34057971014494</v>
      </c>
      <c r="I31" s="21"/>
      <c r="J31" s="6" t="s">
        <v>12</v>
      </c>
      <c r="K31" s="51">
        <f t="shared" ref="K31:Q31" si="41">K30/K29*100</f>
        <v>51.010101010101017</v>
      </c>
      <c r="L31" s="51">
        <f t="shared" si="41"/>
        <v>71.737786023500306</v>
      </c>
      <c r="M31" s="51">
        <f t="shared" si="41"/>
        <v>79.103343465045597</v>
      </c>
      <c r="N31" s="51">
        <f t="shared" si="41"/>
        <v>42.424242424242422</v>
      </c>
      <c r="O31" s="51">
        <f t="shared" si="41"/>
        <v>47.016706443914082</v>
      </c>
      <c r="P31" s="51">
        <f t="shared" si="41"/>
        <v>26.415094339622641</v>
      </c>
      <c r="Q31" s="51">
        <f t="shared" si="41"/>
        <v>105.77181208053692</v>
      </c>
      <c r="R31" s="6" t="s">
        <v>12</v>
      </c>
      <c r="S31" s="51">
        <f t="shared" ref="S31:Y31" si="42">S30/S29*100</f>
        <v>92.964480874316934</v>
      </c>
      <c r="T31" s="51">
        <f t="shared" si="42"/>
        <v>91.935483870967744</v>
      </c>
      <c r="U31" s="51">
        <f t="shared" si="42"/>
        <v>102.95471987720646</v>
      </c>
      <c r="V31" s="51">
        <f t="shared" si="42"/>
        <v>100.93109869646182</v>
      </c>
      <c r="W31" s="51">
        <f t="shared" si="42"/>
        <v>24.867075664621677</v>
      </c>
      <c r="X31" s="51">
        <f t="shared" si="42"/>
        <v>10.928961748633879</v>
      </c>
      <c r="Y31" s="121">
        <f t="shared" si="42"/>
        <v>172.68244575936885</v>
      </c>
      <c r="Z31" s="72"/>
      <c r="AA31" s="68" t="s">
        <v>12</v>
      </c>
      <c r="AB31" s="51">
        <f t="shared" ref="AB31:AH31" si="43">AB30/AB29*100</f>
        <v>0</v>
      </c>
      <c r="AC31" s="51">
        <f t="shared" si="43"/>
        <v>0</v>
      </c>
      <c r="AD31" s="51">
        <f t="shared" si="43"/>
        <v>0</v>
      </c>
      <c r="AE31" s="51">
        <f t="shared" si="43"/>
        <v>0</v>
      </c>
      <c r="AF31" s="51">
        <f t="shared" si="43"/>
        <v>0</v>
      </c>
      <c r="AG31" s="51">
        <f t="shared" si="43"/>
        <v>0</v>
      </c>
      <c r="AH31" s="51">
        <f t="shared" si="43"/>
        <v>0</v>
      </c>
      <c r="AJ31" s="6" t="s">
        <v>12</v>
      </c>
      <c r="AK31" s="51">
        <f t="shared" ref="AK31:AQ31" si="44">AK30/AK29*100</f>
        <v>0</v>
      </c>
      <c r="AL31" s="51">
        <f t="shared" si="44"/>
        <v>0</v>
      </c>
      <c r="AM31" s="51">
        <f t="shared" si="44"/>
        <v>0</v>
      </c>
      <c r="AN31" s="51" t="e">
        <f t="shared" si="44"/>
        <v>#DIV/0!</v>
      </c>
      <c r="AO31" s="51" t="e">
        <f t="shared" si="44"/>
        <v>#DIV/0!</v>
      </c>
      <c r="AP31" s="51">
        <f t="shared" si="44"/>
        <v>0</v>
      </c>
      <c r="AQ31" s="51">
        <f t="shared" si="44"/>
        <v>0</v>
      </c>
    </row>
    <row r="32" spans="1:43" s="219" customFormat="1">
      <c r="A32" s="118" t="s">
        <v>27</v>
      </c>
      <c r="B32" s="119">
        <f>+K32+S32+AK32</f>
        <v>2.6</v>
      </c>
      <c r="C32" s="119">
        <f>+L32+T32+AL32</f>
        <v>370</v>
      </c>
      <c r="D32" s="119">
        <f>E32+F32+G32+H32</f>
        <v>323</v>
      </c>
      <c r="E32" s="119">
        <f t="shared" ref="E32:H33" si="45">+N32+V32+AN32</f>
        <v>176</v>
      </c>
      <c r="F32" s="119">
        <f t="shared" si="45"/>
        <v>103</v>
      </c>
      <c r="G32" s="119">
        <f t="shared" si="45"/>
        <v>7</v>
      </c>
      <c r="H32" s="119">
        <f t="shared" si="45"/>
        <v>37</v>
      </c>
      <c r="J32" s="118" t="s">
        <v>27</v>
      </c>
      <c r="K32" s="119"/>
      <c r="L32" s="119"/>
      <c r="M32" s="119">
        <f>N32+O32+P32+Q32</f>
        <v>0</v>
      </c>
      <c r="N32" s="119"/>
      <c r="O32" s="119"/>
      <c r="P32" s="119"/>
      <c r="Q32" s="119"/>
      <c r="R32" s="118" t="s">
        <v>27</v>
      </c>
      <c r="S32" s="119">
        <v>2.6</v>
      </c>
      <c r="T32" s="119">
        <v>370</v>
      </c>
      <c r="U32" s="119">
        <f>V32+W32+X32+Y32</f>
        <v>323</v>
      </c>
      <c r="V32" s="119">
        <v>176</v>
      </c>
      <c r="W32" s="119">
        <v>103</v>
      </c>
      <c r="X32" s="119">
        <v>7</v>
      </c>
      <c r="Y32" s="266">
        <v>37</v>
      </c>
      <c r="Z32" s="254"/>
      <c r="AA32" s="120" t="s">
        <v>27</v>
      </c>
      <c r="AB32" s="119">
        <v>2.6</v>
      </c>
      <c r="AC32" s="119">
        <v>370</v>
      </c>
      <c r="AD32" s="119">
        <f>AE32+AF32+AG32+AH32</f>
        <v>323</v>
      </c>
      <c r="AE32" s="119">
        <v>176</v>
      </c>
      <c r="AF32" s="119">
        <v>103</v>
      </c>
      <c r="AG32" s="119">
        <v>7</v>
      </c>
      <c r="AH32" s="119">
        <v>37</v>
      </c>
      <c r="AJ32" s="118" t="s">
        <v>27</v>
      </c>
      <c r="AK32" s="119"/>
      <c r="AL32" s="119"/>
      <c r="AM32" s="119">
        <f t="shared" ref="AM32:AM39" si="46">AN32+AO32+AP32+AQ32</f>
        <v>0</v>
      </c>
      <c r="AN32" s="119"/>
      <c r="AO32" s="119"/>
      <c r="AP32" s="119"/>
      <c r="AQ32" s="119"/>
    </row>
    <row r="33" spans="1:43">
      <c r="A33" s="6" t="s">
        <v>28</v>
      </c>
      <c r="B33" s="267">
        <f>+K33+S33+AK33</f>
        <v>0</v>
      </c>
      <c r="C33" s="232">
        <f>+L33+T33+AL33</f>
        <v>0</v>
      </c>
      <c r="D33" s="232">
        <f>E33+F33+G33+H33</f>
        <v>0</v>
      </c>
      <c r="E33" s="232">
        <f t="shared" si="45"/>
        <v>0</v>
      </c>
      <c r="F33" s="232">
        <f t="shared" si="45"/>
        <v>0</v>
      </c>
      <c r="G33" s="232">
        <f t="shared" si="45"/>
        <v>0</v>
      </c>
      <c r="H33" s="232">
        <f t="shared" si="45"/>
        <v>0</v>
      </c>
      <c r="J33" s="6" t="s">
        <v>28</v>
      </c>
      <c r="K33" s="232"/>
      <c r="L33" s="232"/>
      <c r="M33" s="232">
        <f>SUM(N33:Q33)</f>
        <v>0</v>
      </c>
      <c r="N33" s="232"/>
      <c r="O33" s="232"/>
      <c r="P33" s="232"/>
      <c r="Q33" s="232"/>
      <c r="R33" s="6" t="s">
        <v>28</v>
      </c>
      <c r="S33" s="232"/>
      <c r="T33" s="232"/>
      <c r="U33" s="232">
        <f>V33+W33+X33+Y33</f>
        <v>0</v>
      </c>
      <c r="V33" s="232"/>
      <c r="W33" s="232"/>
      <c r="X33" s="232"/>
      <c r="Y33" s="66"/>
      <c r="Z33" s="67"/>
      <c r="AA33" s="68" t="s">
        <v>28</v>
      </c>
      <c r="AB33" s="232"/>
      <c r="AC33" s="232"/>
      <c r="AD33" s="232">
        <f>AE33+AF33+AG33+AH33</f>
        <v>0</v>
      </c>
      <c r="AE33" s="232"/>
      <c r="AF33" s="232"/>
      <c r="AG33" s="232"/>
      <c r="AH33" s="232"/>
      <c r="AJ33" s="6" t="s">
        <v>28</v>
      </c>
      <c r="AK33" s="232"/>
      <c r="AL33" s="232"/>
      <c r="AM33" s="232">
        <f t="shared" si="46"/>
        <v>0</v>
      </c>
      <c r="AN33" s="232"/>
      <c r="AO33" s="232"/>
      <c r="AP33" s="232"/>
      <c r="AQ33" s="232"/>
    </row>
    <row r="34" spans="1:43">
      <c r="A34" s="6" t="s">
        <v>12</v>
      </c>
      <c r="B34" s="232">
        <f t="shared" ref="B34:H34" si="47">+B33/B32*100</f>
        <v>0</v>
      </c>
      <c r="C34" s="123">
        <f>C33/C32*100</f>
        <v>0</v>
      </c>
      <c r="D34" s="122">
        <f>D33/D32*100</f>
        <v>0</v>
      </c>
      <c r="E34" s="123">
        <f t="shared" si="47"/>
        <v>0</v>
      </c>
      <c r="F34" s="123">
        <f t="shared" si="47"/>
        <v>0</v>
      </c>
      <c r="G34" s="123">
        <f t="shared" si="47"/>
        <v>0</v>
      </c>
      <c r="H34" s="123">
        <f t="shared" si="47"/>
        <v>0</v>
      </c>
      <c r="J34" s="6" t="s">
        <v>12</v>
      </c>
      <c r="K34" s="51" t="e">
        <f t="shared" ref="K34:Q34" si="48">K33/K32*100</f>
        <v>#DIV/0!</v>
      </c>
      <c r="L34" s="51" t="e">
        <f t="shared" si="48"/>
        <v>#DIV/0!</v>
      </c>
      <c r="M34" s="51" t="e">
        <f t="shared" si="48"/>
        <v>#DIV/0!</v>
      </c>
      <c r="N34" s="51" t="e">
        <f t="shared" si="48"/>
        <v>#DIV/0!</v>
      </c>
      <c r="O34" s="51" t="e">
        <f t="shared" si="48"/>
        <v>#DIV/0!</v>
      </c>
      <c r="P34" s="51" t="e">
        <f t="shared" si="48"/>
        <v>#DIV/0!</v>
      </c>
      <c r="Q34" s="51" t="e">
        <f t="shared" si="48"/>
        <v>#DIV/0!</v>
      </c>
      <c r="R34" s="6" t="s">
        <v>12</v>
      </c>
      <c r="S34" s="232">
        <f t="shared" ref="S34:Y34" si="49">S33/S32*100</f>
        <v>0</v>
      </c>
      <c r="T34" s="232">
        <f t="shared" si="49"/>
        <v>0</v>
      </c>
      <c r="U34" s="232">
        <f t="shared" si="49"/>
        <v>0</v>
      </c>
      <c r="V34" s="232">
        <f t="shared" si="49"/>
        <v>0</v>
      </c>
      <c r="W34" s="232">
        <f t="shared" si="49"/>
        <v>0</v>
      </c>
      <c r="X34" s="232">
        <f t="shared" si="49"/>
        <v>0</v>
      </c>
      <c r="Y34" s="66">
        <f t="shared" si="49"/>
        <v>0</v>
      </c>
      <c r="Z34" s="67"/>
      <c r="AA34" s="68" t="s">
        <v>12</v>
      </c>
      <c r="AB34" s="232">
        <f t="shared" ref="AB34:AH34" si="50">AB33/AB32*100</f>
        <v>0</v>
      </c>
      <c r="AC34" s="232">
        <f t="shared" si="50"/>
        <v>0</v>
      </c>
      <c r="AD34" s="232">
        <f t="shared" si="50"/>
        <v>0</v>
      </c>
      <c r="AE34" s="232">
        <f t="shared" si="50"/>
        <v>0</v>
      </c>
      <c r="AF34" s="232">
        <f t="shared" si="50"/>
        <v>0</v>
      </c>
      <c r="AG34" s="232">
        <f t="shared" si="50"/>
        <v>0</v>
      </c>
      <c r="AH34" s="232">
        <f t="shared" si="50"/>
        <v>0</v>
      </c>
      <c r="AJ34" s="6" t="s">
        <v>12</v>
      </c>
      <c r="AK34" s="123" t="e">
        <f t="shared" ref="AK34:AQ34" si="51">AK33/AK32*100</f>
        <v>#DIV/0!</v>
      </c>
      <c r="AL34" s="123" t="e">
        <f t="shared" si="51"/>
        <v>#DIV/0!</v>
      </c>
      <c r="AM34" s="123" t="e">
        <f t="shared" si="51"/>
        <v>#DIV/0!</v>
      </c>
      <c r="AN34" s="123" t="e">
        <f t="shared" si="51"/>
        <v>#DIV/0!</v>
      </c>
      <c r="AO34" s="123" t="e">
        <f t="shared" si="51"/>
        <v>#DIV/0!</v>
      </c>
      <c r="AP34" s="123" t="e">
        <f t="shared" si="51"/>
        <v>#DIV/0!</v>
      </c>
      <c r="AQ34" s="123" t="e">
        <f t="shared" si="51"/>
        <v>#DIV/0!</v>
      </c>
    </row>
    <row r="35" spans="1:43" s="219" customFormat="1">
      <c r="A35" s="118" t="s">
        <v>29</v>
      </c>
      <c r="B35" s="119">
        <f>+K35+S35+AK35</f>
        <v>71.100000000000009</v>
      </c>
      <c r="C35" s="119">
        <f>+L35+T35+AL35</f>
        <v>7770</v>
      </c>
      <c r="D35" s="119">
        <f>E35+F35+G35+H35</f>
        <v>6755</v>
      </c>
      <c r="E35" s="119">
        <f t="shared" ref="E35:H36" si="52">+N35+V35+AN35</f>
        <v>699</v>
      </c>
      <c r="F35" s="119">
        <f t="shared" si="52"/>
        <v>2178</v>
      </c>
      <c r="G35" s="119">
        <f t="shared" si="52"/>
        <v>310</v>
      </c>
      <c r="H35" s="119">
        <f t="shared" si="52"/>
        <v>3568</v>
      </c>
      <c r="J35" s="118" t="s">
        <v>29</v>
      </c>
      <c r="K35" s="119">
        <v>0.7</v>
      </c>
      <c r="L35" s="119">
        <v>20</v>
      </c>
      <c r="M35" s="119">
        <f>N35+O35+P35+Q35</f>
        <v>16</v>
      </c>
      <c r="N35" s="119">
        <v>1</v>
      </c>
      <c r="O35" s="119">
        <v>6</v>
      </c>
      <c r="P35" s="119"/>
      <c r="Q35" s="119">
        <v>9</v>
      </c>
      <c r="R35" s="118" t="s">
        <v>29</v>
      </c>
      <c r="S35" s="119">
        <v>70.400000000000006</v>
      </c>
      <c r="T35" s="119">
        <v>7750</v>
      </c>
      <c r="U35" s="119">
        <f>V35+W35+X35+Y35</f>
        <v>6739</v>
      </c>
      <c r="V35" s="119">
        <v>698</v>
      </c>
      <c r="W35" s="119">
        <v>2172</v>
      </c>
      <c r="X35" s="119">
        <v>310</v>
      </c>
      <c r="Y35" s="266">
        <v>3559</v>
      </c>
      <c r="Z35" s="254"/>
      <c r="AA35" s="120" t="s">
        <v>29</v>
      </c>
      <c r="AB35" s="119"/>
      <c r="AC35" s="119"/>
      <c r="AD35" s="119">
        <f>AE35+AF35+AG35+AH35</f>
        <v>0</v>
      </c>
      <c r="AE35" s="119"/>
      <c r="AF35" s="119"/>
      <c r="AG35" s="119"/>
      <c r="AH35" s="119"/>
      <c r="AJ35" s="118" t="s">
        <v>29</v>
      </c>
      <c r="AK35" s="119"/>
      <c r="AL35" s="119"/>
      <c r="AM35" s="244">
        <f t="shared" si="46"/>
        <v>0</v>
      </c>
      <c r="AN35" s="119"/>
      <c r="AO35" s="119"/>
      <c r="AP35" s="119"/>
      <c r="AQ35" s="119"/>
    </row>
    <row r="36" spans="1:43">
      <c r="A36" s="6" t="s">
        <v>30</v>
      </c>
      <c r="B36" s="267">
        <f>+K36+S36+AK36</f>
        <v>102.6</v>
      </c>
      <c r="C36" s="232">
        <f>+L36+T36+AL36</f>
        <v>8090</v>
      </c>
      <c r="D36" s="232">
        <f>E36+F36+G36+H36</f>
        <v>7155</v>
      </c>
      <c r="E36" s="232">
        <f t="shared" si="52"/>
        <v>460</v>
      </c>
      <c r="F36" s="232">
        <f t="shared" si="52"/>
        <v>2377</v>
      </c>
      <c r="G36" s="232">
        <f t="shared" si="52"/>
        <v>505</v>
      </c>
      <c r="H36" s="232">
        <f t="shared" si="52"/>
        <v>3813</v>
      </c>
      <c r="J36" s="6" t="s">
        <v>30</v>
      </c>
      <c r="K36" s="232">
        <v>0.3</v>
      </c>
      <c r="L36" s="232">
        <v>10</v>
      </c>
      <c r="M36" s="232">
        <f>N36+O36+P36+Q36</f>
        <v>9</v>
      </c>
      <c r="N36" s="232"/>
      <c r="O36" s="232"/>
      <c r="P36" s="232"/>
      <c r="Q36" s="232">
        <v>9</v>
      </c>
      <c r="R36" s="6" t="s">
        <v>30</v>
      </c>
      <c r="S36" s="232">
        <v>102.3</v>
      </c>
      <c r="T36" s="232">
        <v>8080</v>
      </c>
      <c r="U36" s="232">
        <f>V36+W36+X36+Y36</f>
        <v>7146</v>
      </c>
      <c r="V36" s="232">
        <v>460</v>
      </c>
      <c r="W36" s="232">
        <v>2377</v>
      </c>
      <c r="X36" s="232">
        <v>505</v>
      </c>
      <c r="Y36" s="232">
        <v>3804</v>
      </c>
      <c r="Z36" s="67"/>
      <c r="AA36" s="68" t="s">
        <v>30</v>
      </c>
      <c r="AB36" s="232"/>
      <c r="AC36" s="232"/>
      <c r="AD36" s="232">
        <f>AE36+AF36+AG36+AH36</f>
        <v>0</v>
      </c>
      <c r="AE36" s="232"/>
      <c r="AF36" s="232"/>
      <c r="AG36" s="232"/>
      <c r="AH36" s="232"/>
      <c r="AJ36" s="6" t="s">
        <v>30</v>
      </c>
      <c r="AK36" s="232"/>
      <c r="AL36" s="232"/>
      <c r="AM36" s="232">
        <f t="shared" si="46"/>
        <v>0</v>
      </c>
      <c r="AN36" s="232"/>
      <c r="AO36" s="232"/>
      <c r="AP36" s="232"/>
      <c r="AQ36" s="232"/>
    </row>
    <row r="37" spans="1:43">
      <c r="A37" s="6" t="s">
        <v>12</v>
      </c>
      <c r="B37" s="51">
        <f t="shared" ref="B37:H37" si="53">B36/B35*100</f>
        <v>144.30379746835439</v>
      </c>
      <c r="C37" s="51">
        <f t="shared" si="53"/>
        <v>104.11840411840411</v>
      </c>
      <c r="D37" s="122">
        <f t="shared" si="53"/>
        <v>105.92153960029607</v>
      </c>
      <c r="E37" s="51">
        <f t="shared" si="53"/>
        <v>65.808297567954227</v>
      </c>
      <c r="F37" s="51">
        <f t="shared" si="53"/>
        <v>109.13682277318641</v>
      </c>
      <c r="G37" s="51">
        <f t="shared" si="53"/>
        <v>162.90322580645162</v>
      </c>
      <c r="H37" s="51">
        <f t="shared" si="53"/>
        <v>106.86659192825113</v>
      </c>
      <c r="I37" s="21"/>
      <c r="J37" s="6" t="s">
        <v>12</v>
      </c>
      <c r="K37" s="51">
        <f t="shared" ref="K37:Q37" si="54">K36/K35*100</f>
        <v>42.857142857142861</v>
      </c>
      <c r="L37" s="51">
        <f t="shared" si="54"/>
        <v>50</v>
      </c>
      <c r="M37" s="51">
        <f t="shared" si="54"/>
        <v>56.25</v>
      </c>
      <c r="N37" s="51">
        <f t="shared" si="54"/>
        <v>0</v>
      </c>
      <c r="O37" s="51">
        <f t="shared" si="54"/>
        <v>0</v>
      </c>
      <c r="P37" s="51" t="e">
        <f t="shared" si="54"/>
        <v>#DIV/0!</v>
      </c>
      <c r="Q37" s="51">
        <f t="shared" si="54"/>
        <v>100</v>
      </c>
      <c r="R37" s="6" t="s">
        <v>12</v>
      </c>
      <c r="S37" s="51">
        <f t="shared" ref="S37:Y37" si="55">S36/S35*100</f>
        <v>145.31249999999997</v>
      </c>
      <c r="T37" s="51">
        <f t="shared" si="55"/>
        <v>104.25806451612902</v>
      </c>
      <c r="U37" s="51">
        <f t="shared" si="55"/>
        <v>106.03947173171093</v>
      </c>
      <c r="V37" s="51">
        <f t="shared" si="55"/>
        <v>65.902578796561613</v>
      </c>
      <c r="W37" s="51">
        <f t="shared" si="55"/>
        <v>109.43830570902394</v>
      </c>
      <c r="X37" s="51">
        <f t="shared" si="55"/>
        <v>162.90322580645162</v>
      </c>
      <c r="Y37" s="121">
        <f t="shared" si="55"/>
        <v>106.88395616746278</v>
      </c>
      <c r="Z37" s="72"/>
      <c r="AA37" s="68" t="s">
        <v>12</v>
      </c>
      <c r="AB37" s="232"/>
      <c r="AC37" s="232"/>
      <c r="AD37" s="232">
        <f>AE37+AF37+AG37+AH37</f>
        <v>0</v>
      </c>
      <c r="AE37" s="232"/>
      <c r="AF37" s="232"/>
      <c r="AG37" s="232"/>
      <c r="AH37" s="232"/>
      <c r="AJ37" s="6" t="s">
        <v>12</v>
      </c>
      <c r="AK37" s="123" t="e">
        <f t="shared" ref="AK37:AQ37" si="56">AK36/AK35*100</f>
        <v>#DIV/0!</v>
      </c>
      <c r="AL37" s="123" t="e">
        <f t="shared" si="56"/>
        <v>#DIV/0!</v>
      </c>
      <c r="AM37" s="123" t="e">
        <f t="shared" si="56"/>
        <v>#DIV/0!</v>
      </c>
      <c r="AN37" s="123" t="e">
        <f t="shared" si="56"/>
        <v>#DIV/0!</v>
      </c>
      <c r="AO37" s="123" t="e">
        <f t="shared" si="56"/>
        <v>#DIV/0!</v>
      </c>
      <c r="AP37" s="123" t="e">
        <f t="shared" si="56"/>
        <v>#DIV/0!</v>
      </c>
      <c r="AQ37" s="123" t="e">
        <f t="shared" si="56"/>
        <v>#DIV/0!</v>
      </c>
    </row>
    <row r="38" spans="1:43" s="219" customFormat="1">
      <c r="A38" s="118" t="s">
        <v>31</v>
      </c>
      <c r="B38" s="119">
        <f>+K38+S38+AK38</f>
        <v>103.39999999999999</v>
      </c>
      <c r="C38" s="119">
        <f>+L38+T38+AL38</f>
        <v>4904</v>
      </c>
      <c r="D38" s="119">
        <f>E38+F38+G38+H38</f>
        <v>4104</v>
      </c>
      <c r="E38" s="119">
        <f t="shared" ref="E38:H39" si="57">+N38+V38+AN38</f>
        <v>603</v>
      </c>
      <c r="F38" s="119">
        <f t="shared" si="57"/>
        <v>1450</v>
      </c>
      <c r="G38" s="119">
        <f t="shared" si="57"/>
        <v>225</v>
      </c>
      <c r="H38" s="119">
        <f t="shared" si="57"/>
        <v>1826</v>
      </c>
      <c r="J38" s="118" t="s">
        <v>31</v>
      </c>
      <c r="K38" s="119">
        <v>73.3</v>
      </c>
      <c r="L38" s="119">
        <v>2665</v>
      </c>
      <c r="M38" s="119">
        <f>N38+O38+P38+Q38</f>
        <v>2229</v>
      </c>
      <c r="N38" s="119">
        <v>287</v>
      </c>
      <c r="O38" s="119">
        <v>862</v>
      </c>
      <c r="P38" s="119">
        <v>160</v>
      </c>
      <c r="Q38" s="119">
        <v>920</v>
      </c>
      <c r="R38" s="118" t="s">
        <v>31</v>
      </c>
      <c r="S38" s="119">
        <v>29.5</v>
      </c>
      <c r="T38" s="119">
        <v>2200</v>
      </c>
      <c r="U38" s="119">
        <f>V38+W38+X38+Y38</f>
        <v>1847</v>
      </c>
      <c r="V38" s="119">
        <v>316</v>
      </c>
      <c r="W38" s="119">
        <v>588</v>
      </c>
      <c r="X38" s="119">
        <v>61</v>
      </c>
      <c r="Y38" s="266">
        <v>882</v>
      </c>
      <c r="Z38" s="254"/>
      <c r="AA38" s="120" t="s">
        <v>31</v>
      </c>
      <c r="AB38" s="119">
        <v>2.5</v>
      </c>
      <c r="AC38" s="119">
        <v>120</v>
      </c>
      <c r="AD38" s="119">
        <f>AE38+AF38+AG38+AH38</f>
        <v>101</v>
      </c>
      <c r="AE38" s="119">
        <v>17</v>
      </c>
      <c r="AF38" s="119">
        <v>22</v>
      </c>
      <c r="AG38" s="119">
        <v>2</v>
      </c>
      <c r="AH38" s="119">
        <v>60</v>
      </c>
      <c r="AJ38" s="118" t="s">
        <v>31</v>
      </c>
      <c r="AK38" s="119">
        <v>0.6</v>
      </c>
      <c r="AL38" s="119">
        <v>39</v>
      </c>
      <c r="AM38" s="232">
        <f t="shared" si="46"/>
        <v>28</v>
      </c>
      <c r="AN38" s="119"/>
      <c r="AO38" s="119"/>
      <c r="AP38" s="119">
        <v>4</v>
      </c>
      <c r="AQ38" s="119">
        <v>24</v>
      </c>
    </row>
    <row r="39" spans="1:43">
      <c r="A39" s="6" t="s">
        <v>32</v>
      </c>
      <c r="B39" s="267">
        <f>+K39+S39+AK39</f>
        <v>105.7</v>
      </c>
      <c r="C39" s="232">
        <f>+L39+T39+AL39</f>
        <v>4910</v>
      </c>
      <c r="D39" s="232">
        <f>E39+F39+G39+H39</f>
        <v>3869</v>
      </c>
      <c r="E39" s="232">
        <f t="shared" si="57"/>
        <v>288</v>
      </c>
      <c r="F39" s="232">
        <f t="shared" si="57"/>
        <v>757</v>
      </c>
      <c r="G39" s="232">
        <f t="shared" si="57"/>
        <v>151</v>
      </c>
      <c r="H39" s="232">
        <f t="shared" si="57"/>
        <v>2673</v>
      </c>
      <c r="J39" s="6" t="s">
        <v>32</v>
      </c>
      <c r="K39" s="232">
        <v>66.900000000000006</v>
      </c>
      <c r="L39" s="232">
        <v>2605</v>
      </c>
      <c r="M39" s="232">
        <f>N39+O39+P39+Q39</f>
        <v>2207</v>
      </c>
      <c r="N39" s="232">
        <v>164</v>
      </c>
      <c r="O39" s="232">
        <v>626</v>
      </c>
      <c r="P39" s="232">
        <v>122</v>
      </c>
      <c r="Q39" s="232">
        <v>1295</v>
      </c>
      <c r="R39" s="6" t="s">
        <v>32</v>
      </c>
      <c r="S39" s="232">
        <v>38.799999999999997</v>
      </c>
      <c r="T39" s="232">
        <v>2305</v>
      </c>
      <c r="U39" s="232">
        <f>V39+W39+X39+Y39</f>
        <v>1662</v>
      </c>
      <c r="V39" s="232">
        <v>124</v>
      </c>
      <c r="W39" s="232">
        <v>131</v>
      </c>
      <c r="X39" s="232">
        <v>29</v>
      </c>
      <c r="Y39" s="232">
        <v>1378</v>
      </c>
      <c r="Z39" s="67"/>
      <c r="AA39" s="68" t="s">
        <v>32</v>
      </c>
      <c r="AB39" s="232"/>
      <c r="AC39" s="232"/>
      <c r="AD39" s="232">
        <f>AE39+AF39+AG39+AH39</f>
        <v>0</v>
      </c>
      <c r="AE39" s="232"/>
      <c r="AF39" s="232"/>
      <c r="AG39" s="232"/>
      <c r="AH39" s="232"/>
      <c r="AJ39" s="6" t="s">
        <v>32</v>
      </c>
      <c r="AK39" s="232"/>
      <c r="AL39" s="232"/>
      <c r="AM39" s="232">
        <f t="shared" si="46"/>
        <v>0</v>
      </c>
      <c r="AN39" s="232"/>
      <c r="AO39" s="232"/>
      <c r="AP39" s="232"/>
      <c r="AQ39" s="232"/>
    </row>
    <row r="40" spans="1:43">
      <c r="A40" s="6" t="s">
        <v>12</v>
      </c>
      <c r="B40" s="51">
        <f t="shared" ref="B40:H40" si="58">B39/B38*100</f>
        <v>102.22437137330755</v>
      </c>
      <c r="C40" s="51">
        <f t="shared" si="58"/>
        <v>100.12234910277324</v>
      </c>
      <c r="D40" s="51">
        <f t="shared" si="58"/>
        <v>94.273879142300203</v>
      </c>
      <c r="E40" s="51">
        <f t="shared" si="58"/>
        <v>47.761194029850742</v>
      </c>
      <c r="F40" s="51">
        <f t="shared" si="58"/>
        <v>52.206896551724135</v>
      </c>
      <c r="G40" s="51">
        <f t="shared" si="58"/>
        <v>67.111111111111114</v>
      </c>
      <c r="H40" s="51">
        <f t="shared" si="58"/>
        <v>146.3855421686747</v>
      </c>
      <c r="I40" s="21"/>
      <c r="J40" s="6" t="s">
        <v>12</v>
      </c>
      <c r="K40" s="51">
        <f t="shared" ref="K40:Q40" si="59">K39/K38*100</f>
        <v>91.268758526603008</v>
      </c>
      <c r="L40" s="51">
        <f t="shared" si="59"/>
        <v>97.748592870544087</v>
      </c>
      <c r="M40" s="51">
        <f t="shared" si="59"/>
        <v>99.013010318528487</v>
      </c>
      <c r="N40" s="51">
        <f t="shared" si="59"/>
        <v>57.142857142857139</v>
      </c>
      <c r="O40" s="51">
        <f t="shared" si="59"/>
        <v>72.621809744779583</v>
      </c>
      <c r="P40" s="51">
        <f t="shared" si="59"/>
        <v>76.25</v>
      </c>
      <c r="Q40" s="51">
        <f t="shared" si="59"/>
        <v>140.76086956521738</v>
      </c>
      <c r="R40" s="6" t="s">
        <v>12</v>
      </c>
      <c r="S40" s="51">
        <f t="shared" ref="S40:Y40" si="60">S39/S38*100</f>
        <v>131.52542372881356</v>
      </c>
      <c r="T40" s="51">
        <f t="shared" si="60"/>
        <v>104.77272727272727</v>
      </c>
      <c r="U40" s="51">
        <f t="shared" si="60"/>
        <v>89.98375744450459</v>
      </c>
      <c r="V40" s="51">
        <f t="shared" si="60"/>
        <v>39.24050632911392</v>
      </c>
      <c r="W40" s="51">
        <f t="shared" si="60"/>
        <v>22.278911564625851</v>
      </c>
      <c r="X40" s="51">
        <f t="shared" si="60"/>
        <v>47.540983606557376</v>
      </c>
      <c r="Y40" s="121">
        <f t="shared" si="60"/>
        <v>156.2358276643991</v>
      </c>
      <c r="Z40" s="72"/>
      <c r="AA40" s="68" t="s">
        <v>12</v>
      </c>
      <c r="AB40" s="51">
        <f t="shared" ref="AB40:AH40" si="61">AB39/AB38*100</f>
        <v>0</v>
      </c>
      <c r="AC40" s="51">
        <f t="shared" si="61"/>
        <v>0</v>
      </c>
      <c r="AD40" s="51">
        <f t="shared" si="61"/>
        <v>0</v>
      </c>
      <c r="AE40" s="51">
        <f t="shared" si="61"/>
        <v>0</v>
      </c>
      <c r="AF40" s="51">
        <f t="shared" si="61"/>
        <v>0</v>
      </c>
      <c r="AG40" s="51">
        <f t="shared" si="61"/>
        <v>0</v>
      </c>
      <c r="AH40" s="51">
        <f t="shared" si="61"/>
        <v>0</v>
      </c>
      <c r="AI40" s="21"/>
      <c r="AJ40" s="6" t="s">
        <v>12</v>
      </c>
      <c r="AK40" s="123">
        <f t="shared" ref="AK40:AQ40" si="62">AK39/AK38*100</f>
        <v>0</v>
      </c>
      <c r="AL40" s="123">
        <f t="shared" si="62"/>
        <v>0</v>
      </c>
      <c r="AM40" s="123">
        <f t="shared" si="62"/>
        <v>0</v>
      </c>
      <c r="AN40" s="123" t="e">
        <f t="shared" si="62"/>
        <v>#DIV/0!</v>
      </c>
      <c r="AO40" s="123" t="e">
        <f t="shared" si="62"/>
        <v>#DIV/0!</v>
      </c>
      <c r="AP40" s="123">
        <f t="shared" si="62"/>
        <v>0</v>
      </c>
      <c r="AQ40" s="123">
        <f t="shared" si="62"/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63">K9+S9+AK9</f>
        <v>464.70000000000005</v>
      </c>
      <c r="C46" s="83">
        <f t="shared" si="63"/>
        <v>27920</v>
      </c>
      <c r="D46" s="83">
        <f t="shared" si="63"/>
        <v>23610</v>
      </c>
      <c r="E46" s="83">
        <f t="shared" si="63"/>
        <v>4377</v>
      </c>
      <c r="F46" s="83">
        <f t="shared" si="63"/>
        <v>7582</v>
      </c>
      <c r="G46" s="83">
        <f t="shared" si="63"/>
        <v>894</v>
      </c>
      <c r="H46" s="83">
        <f t="shared" si="63"/>
        <v>10757</v>
      </c>
    </row>
    <row r="47" spans="1:43">
      <c r="A47" s="84" t="s">
        <v>50</v>
      </c>
      <c r="B47" s="83">
        <f t="shared" si="63"/>
        <v>455.3</v>
      </c>
      <c r="C47" s="83">
        <f t="shared" si="63"/>
        <v>28300</v>
      </c>
      <c r="D47" s="83">
        <f t="shared" si="63"/>
        <v>25124</v>
      </c>
      <c r="E47" s="83">
        <f t="shared" si="63"/>
        <v>3648</v>
      </c>
      <c r="F47" s="83">
        <f t="shared" si="63"/>
        <v>4510</v>
      </c>
      <c r="G47" s="83">
        <f t="shared" si="63"/>
        <v>726</v>
      </c>
      <c r="H47" s="83">
        <f t="shared" si="63"/>
        <v>16240</v>
      </c>
    </row>
    <row r="48" spans="1:43">
      <c r="A48" s="85" t="s">
        <v>44</v>
      </c>
      <c r="B48" s="86">
        <f>B47/B46*100</f>
        <v>97.977189584678285</v>
      </c>
      <c r="C48" s="86">
        <f t="shared" ref="C48:H48" si="64">C47/C46*100</f>
        <v>101.36103151862463</v>
      </c>
      <c r="D48" s="86">
        <f t="shared" si="64"/>
        <v>106.41253706056754</v>
      </c>
      <c r="E48" s="86">
        <f t="shared" si="64"/>
        <v>83.344756682659366</v>
      </c>
      <c r="F48" s="86">
        <f t="shared" si="64"/>
        <v>59.482986019519913</v>
      </c>
      <c r="G48" s="86">
        <f t="shared" si="64"/>
        <v>81.208053691275168</v>
      </c>
      <c r="H48" s="86">
        <f t="shared" si="64"/>
        <v>150.97146044436181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65">K13+S13+AK13</f>
        <v>17.900000000000002</v>
      </c>
      <c r="C50" s="90">
        <f t="shared" si="65"/>
        <v>990</v>
      </c>
      <c r="D50" s="90">
        <f t="shared" si="65"/>
        <v>749</v>
      </c>
      <c r="E50" s="90">
        <f t="shared" si="65"/>
        <v>191</v>
      </c>
      <c r="F50" s="90">
        <f t="shared" si="65"/>
        <v>380</v>
      </c>
      <c r="G50" s="90">
        <f t="shared" si="65"/>
        <v>42</v>
      </c>
      <c r="H50" s="90">
        <f t="shared" si="65"/>
        <v>136</v>
      </c>
    </row>
    <row r="51" spans="1:8">
      <c r="A51" s="75" t="s">
        <v>50</v>
      </c>
      <c r="B51" s="90">
        <f t="shared" si="65"/>
        <v>32.6</v>
      </c>
      <c r="C51" s="90">
        <f t="shared" si="65"/>
        <v>2970</v>
      </c>
      <c r="D51" s="90">
        <f t="shared" si="65"/>
        <v>2690</v>
      </c>
      <c r="E51" s="90">
        <f t="shared" si="65"/>
        <v>155</v>
      </c>
      <c r="F51" s="90">
        <f t="shared" si="65"/>
        <v>254</v>
      </c>
      <c r="G51" s="90">
        <f t="shared" si="65"/>
        <v>6</v>
      </c>
      <c r="H51" s="90">
        <f t="shared" si="65"/>
        <v>2275</v>
      </c>
    </row>
    <row r="52" spans="1:8">
      <c r="A52" s="75" t="s">
        <v>44</v>
      </c>
      <c r="B52" s="91">
        <f t="shared" ref="B52:H52" si="66">B51/B50*100</f>
        <v>182.12290502793294</v>
      </c>
      <c r="C52" s="91">
        <f t="shared" si="66"/>
        <v>300</v>
      </c>
      <c r="D52" s="91">
        <f t="shared" si="66"/>
        <v>359.14552736982643</v>
      </c>
      <c r="E52" s="91">
        <f t="shared" si="66"/>
        <v>81.15183246073299</v>
      </c>
      <c r="F52" s="91">
        <f t="shared" si="66"/>
        <v>66.84210526315789</v>
      </c>
      <c r="G52" s="91">
        <f t="shared" si="66"/>
        <v>14.285714285714285</v>
      </c>
      <c r="H52" s="91">
        <f t="shared" si="66"/>
        <v>1672.7941176470588</v>
      </c>
    </row>
    <row r="53" spans="1:8">
      <c r="A53" s="75" t="s">
        <v>13</v>
      </c>
      <c r="B53" s="90">
        <f t="shared" ref="B53:H55" si="67">K16+S16+AK16</f>
        <v>3.2</v>
      </c>
      <c r="C53" s="90">
        <f t="shared" si="67"/>
        <v>120</v>
      </c>
      <c r="D53" s="90">
        <f t="shared" si="67"/>
        <v>97</v>
      </c>
      <c r="E53" s="90">
        <f t="shared" si="67"/>
        <v>32</v>
      </c>
      <c r="F53" s="90">
        <f t="shared" si="67"/>
        <v>16</v>
      </c>
      <c r="G53" s="90">
        <f t="shared" si="67"/>
        <v>0</v>
      </c>
      <c r="H53" s="90">
        <f t="shared" si="67"/>
        <v>49</v>
      </c>
    </row>
    <row r="54" spans="1:8">
      <c r="A54" s="92" t="s">
        <v>14</v>
      </c>
      <c r="B54" s="90">
        <f t="shared" si="67"/>
        <v>13.6</v>
      </c>
      <c r="C54" s="90">
        <f t="shared" si="67"/>
        <v>2200</v>
      </c>
      <c r="D54" s="90">
        <f t="shared" si="67"/>
        <v>2100</v>
      </c>
      <c r="E54" s="90">
        <f t="shared" si="67"/>
        <v>0</v>
      </c>
      <c r="F54" s="90">
        <f t="shared" si="67"/>
        <v>0</v>
      </c>
      <c r="G54" s="90">
        <f t="shared" si="67"/>
        <v>0</v>
      </c>
      <c r="H54" s="90">
        <f t="shared" si="67"/>
        <v>2100</v>
      </c>
    </row>
    <row r="55" spans="1:8">
      <c r="A55" s="75" t="s">
        <v>15</v>
      </c>
      <c r="B55" s="90">
        <f t="shared" si="67"/>
        <v>0</v>
      </c>
      <c r="C55" s="90">
        <f t="shared" si="67"/>
        <v>0</v>
      </c>
      <c r="D55" s="90">
        <f t="shared" si="67"/>
        <v>0</v>
      </c>
      <c r="E55" s="90">
        <f t="shared" si="67"/>
        <v>0</v>
      </c>
      <c r="F55" s="90">
        <f t="shared" si="67"/>
        <v>0</v>
      </c>
      <c r="G55" s="90">
        <f t="shared" si="67"/>
        <v>0</v>
      </c>
      <c r="H55" s="90">
        <f t="shared" si="67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68">K20+S20+AK20</f>
        <v>446.8</v>
      </c>
      <c r="C57" s="90">
        <f t="shared" si="68"/>
        <v>26930</v>
      </c>
      <c r="D57" s="90">
        <f t="shared" si="68"/>
        <v>22861</v>
      </c>
      <c r="E57" s="90">
        <f t="shared" si="68"/>
        <v>4186</v>
      </c>
      <c r="F57" s="90">
        <f t="shared" si="68"/>
        <v>7202</v>
      </c>
      <c r="G57" s="90">
        <f t="shared" si="68"/>
        <v>852</v>
      </c>
      <c r="H57" s="90">
        <f t="shared" si="68"/>
        <v>10621</v>
      </c>
    </row>
    <row r="58" spans="1:8">
      <c r="A58" s="92" t="s">
        <v>50</v>
      </c>
      <c r="B58" s="90">
        <f t="shared" si="68"/>
        <v>422.70000000000005</v>
      </c>
      <c r="C58" s="90">
        <f t="shared" si="68"/>
        <v>25330</v>
      </c>
      <c r="D58" s="90">
        <f>M21+U21+AM21</f>
        <v>22434</v>
      </c>
      <c r="E58" s="90">
        <f t="shared" si="68"/>
        <v>3493</v>
      </c>
      <c r="F58" s="90">
        <f t="shared" si="68"/>
        <v>4256</v>
      </c>
      <c r="G58" s="90">
        <f t="shared" si="68"/>
        <v>720</v>
      </c>
      <c r="H58" s="90">
        <f t="shared" si="68"/>
        <v>13965</v>
      </c>
    </row>
    <row r="59" spans="1:8">
      <c r="A59" s="75" t="s">
        <v>44</v>
      </c>
      <c r="B59" s="91">
        <f t="shared" ref="B59:H59" si="69">B58/B57*100</f>
        <v>94.606087735004479</v>
      </c>
      <c r="C59" s="91">
        <f t="shared" si="69"/>
        <v>94.058670627552914</v>
      </c>
      <c r="D59" s="91">
        <f t="shared" si="69"/>
        <v>98.132190192904943</v>
      </c>
      <c r="E59" s="91">
        <f t="shared" si="69"/>
        <v>83.444816053511701</v>
      </c>
      <c r="F59" s="91">
        <f t="shared" si="69"/>
        <v>59.094695917800607</v>
      </c>
      <c r="G59" s="91">
        <f t="shared" si="69"/>
        <v>84.507042253521121</v>
      </c>
      <c r="H59" s="91">
        <f t="shared" si="69"/>
        <v>131.48479427549196</v>
      </c>
    </row>
    <row r="60" spans="1:8">
      <c r="A60" s="75" t="s">
        <v>21</v>
      </c>
      <c r="B60" s="90">
        <f t="shared" ref="B60:H61" si="70">K23+S23+AK23</f>
        <v>0</v>
      </c>
      <c r="C60" s="90">
        <f t="shared" si="70"/>
        <v>0</v>
      </c>
      <c r="D60" s="90">
        <f t="shared" si="70"/>
        <v>0</v>
      </c>
      <c r="E60" s="90">
        <f t="shared" si="70"/>
        <v>0</v>
      </c>
      <c r="F60" s="90">
        <f t="shared" si="70"/>
        <v>0</v>
      </c>
      <c r="G60" s="90">
        <f t="shared" si="70"/>
        <v>0</v>
      </c>
      <c r="H60" s="90">
        <f t="shared" si="70"/>
        <v>0</v>
      </c>
    </row>
    <row r="61" spans="1:8">
      <c r="A61" s="75" t="s">
        <v>51</v>
      </c>
      <c r="B61" s="90">
        <f t="shared" si="70"/>
        <v>0.3</v>
      </c>
      <c r="C61" s="90">
        <f t="shared" si="70"/>
        <v>10</v>
      </c>
      <c r="D61" s="90">
        <f t="shared" si="70"/>
        <v>6</v>
      </c>
      <c r="E61" s="90">
        <f t="shared" si="70"/>
        <v>1</v>
      </c>
      <c r="F61" s="90">
        <f t="shared" si="70"/>
        <v>0</v>
      </c>
      <c r="G61" s="90">
        <f t="shared" si="70"/>
        <v>0</v>
      </c>
      <c r="H61" s="90">
        <f t="shared" si="70"/>
        <v>5</v>
      </c>
    </row>
    <row r="62" spans="1:8">
      <c r="A62" s="75" t="s">
        <v>12</v>
      </c>
      <c r="B62" s="91" t="e">
        <f t="shared" ref="B62:H62" si="71">B61/B60*100</f>
        <v>#DIV/0!</v>
      </c>
      <c r="C62" s="91" t="e">
        <f t="shared" si="71"/>
        <v>#DIV/0!</v>
      </c>
      <c r="D62" s="91" t="e">
        <f t="shared" si="71"/>
        <v>#DIV/0!</v>
      </c>
      <c r="E62" s="91" t="e">
        <f t="shared" si="71"/>
        <v>#DIV/0!</v>
      </c>
      <c r="F62" s="91" t="e">
        <f t="shared" si="71"/>
        <v>#DIV/0!</v>
      </c>
      <c r="G62" s="91" t="e">
        <f t="shared" si="71"/>
        <v>#DIV/0!</v>
      </c>
      <c r="H62" s="91" t="e">
        <f t="shared" si="71"/>
        <v>#DIV/0!</v>
      </c>
    </row>
    <row r="63" spans="1:8">
      <c r="A63" s="75" t="s">
        <v>23</v>
      </c>
      <c r="B63" s="90">
        <f t="shared" ref="B63:H64" si="72">K26+S26+AK26</f>
        <v>62.7</v>
      </c>
      <c r="C63" s="90">
        <f t="shared" si="72"/>
        <v>2843</v>
      </c>
      <c r="D63" s="90">
        <f t="shared" si="72"/>
        <v>2456</v>
      </c>
      <c r="E63" s="90">
        <f t="shared" si="72"/>
        <v>461</v>
      </c>
      <c r="F63" s="90">
        <f t="shared" si="72"/>
        <v>607</v>
      </c>
      <c r="G63" s="90">
        <f t="shared" si="72"/>
        <v>62</v>
      </c>
      <c r="H63" s="90">
        <f t="shared" si="72"/>
        <v>1326</v>
      </c>
    </row>
    <row r="64" spans="1:8">
      <c r="A64" s="75" t="s">
        <v>45</v>
      </c>
      <c r="B64" s="90">
        <f t="shared" si="72"/>
        <v>47.7</v>
      </c>
      <c r="C64" s="90">
        <f t="shared" si="72"/>
        <v>2610</v>
      </c>
      <c r="D64" s="90">
        <f t="shared" si="72"/>
        <v>2314</v>
      </c>
      <c r="E64" s="90">
        <f t="shared" si="72"/>
        <v>534</v>
      </c>
      <c r="F64" s="90">
        <f t="shared" si="72"/>
        <v>317</v>
      </c>
      <c r="G64" s="90">
        <f t="shared" si="72"/>
        <v>30</v>
      </c>
      <c r="H64" s="90">
        <f t="shared" si="72"/>
        <v>1433</v>
      </c>
    </row>
    <row r="65" spans="1:8">
      <c r="A65" s="75" t="s">
        <v>12</v>
      </c>
      <c r="B65" s="91">
        <f t="shared" ref="B65:H65" si="73">B64/B63*100</f>
        <v>76.076555023923447</v>
      </c>
      <c r="C65" s="91">
        <f t="shared" si="73"/>
        <v>91.804431938093572</v>
      </c>
      <c r="D65" s="91">
        <f t="shared" si="73"/>
        <v>94.218241042345269</v>
      </c>
      <c r="E65" s="91">
        <f t="shared" si="73"/>
        <v>115.83514099783081</v>
      </c>
      <c r="F65" s="91">
        <f t="shared" si="73"/>
        <v>52.22405271828665</v>
      </c>
      <c r="G65" s="91">
        <f t="shared" si="73"/>
        <v>48.387096774193552</v>
      </c>
      <c r="H65" s="91">
        <f t="shared" si="73"/>
        <v>108.06938159879336</v>
      </c>
    </row>
    <row r="66" spans="1:8">
      <c r="A66" s="75" t="s">
        <v>25</v>
      </c>
      <c r="B66" s="90">
        <f t="shared" ref="B66:H67" si="74">K29+S29+AK29</f>
        <v>207</v>
      </c>
      <c r="C66" s="90">
        <f t="shared" si="74"/>
        <v>11043</v>
      </c>
      <c r="D66" s="90">
        <f t="shared" si="74"/>
        <v>9223</v>
      </c>
      <c r="E66" s="90">
        <f t="shared" si="74"/>
        <v>2247</v>
      </c>
      <c r="F66" s="90">
        <f t="shared" si="74"/>
        <v>2864</v>
      </c>
      <c r="G66" s="90">
        <f t="shared" si="74"/>
        <v>248</v>
      </c>
      <c r="H66" s="90">
        <f t="shared" si="74"/>
        <v>3864</v>
      </c>
    </row>
    <row r="67" spans="1:8">
      <c r="A67" s="75" t="s">
        <v>46</v>
      </c>
      <c r="B67" s="90">
        <f t="shared" si="74"/>
        <v>166.4</v>
      </c>
      <c r="C67" s="90">
        <f t="shared" si="74"/>
        <v>9710</v>
      </c>
      <c r="D67" s="90">
        <f t="shared" si="74"/>
        <v>9090</v>
      </c>
      <c r="E67" s="90">
        <f t="shared" si="74"/>
        <v>2210</v>
      </c>
      <c r="F67" s="90">
        <f t="shared" si="74"/>
        <v>805</v>
      </c>
      <c r="G67" s="90">
        <f t="shared" si="74"/>
        <v>34</v>
      </c>
      <c r="H67" s="90">
        <f t="shared" si="74"/>
        <v>6041</v>
      </c>
    </row>
    <row r="68" spans="1:8">
      <c r="A68" s="75" t="s">
        <v>12</v>
      </c>
      <c r="B68" s="91">
        <f t="shared" ref="B68:H68" si="75">B67/B66*100</f>
        <v>80.386473429951693</v>
      </c>
      <c r="C68" s="91">
        <f t="shared" si="75"/>
        <v>87.929004799420454</v>
      </c>
      <c r="D68" s="91">
        <f t="shared" si="75"/>
        <v>98.557952943727628</v>
      </c>
      <c r="E68" s="91">
        <f t="shared" si="75"/>
        <v>98.353360035603018</v>
      </c>
      <c r="F68" s="91">
        <f t="shared" si="75"/>
        <v>28.10754189944134</v>
      </c>
      <c r="G68" s="91">
        <f t="shared" si="75"/>
        <v>13.709677419354838</v>
      </c>
      <c r="H68" s="91">
        <f t="shared" si="75"/>
        <v>156.34057971014494</v>
      </c>
    </row>
    <row r="69" spans="1:8">
      <c r="A69" s="75" t="s">
        <v>27</v>
      </c>
      <c r="B69" s="90">
        <f t="shared" ref="B69:H70" si="76">K32+S32+AK32</f>
        <v>2.6</v>
      </c>
      <c r="C69" s="90">
        <f t="shared" si="76"/>
        <v>370</v>
      </c>
      <c r="D69" s="90">
        <f t="shared" si="76"/>
        <v>323</v>
      </c>
      <c r="E69" s="90">
        <f t="shared" si="76"/>
        <v>176</v>
      </c>
      <c r="F69" s="90">
        <f t="shared" si="76"/>
        <v>103</v>
      </c>
      <c r="G69" s="90">
        <f t="shared" si="76"/>
        <v>7</v>
      </c>
      <c r="H69" s="90">
        <f t="shared" si="76"/>
        <v>37</v>
      </c>
    </row>
    <row r="70" spans="1:8">
      <c r="A70" s="75" t="s">
        <v>47</v>
      </c>
      <c r="B70" s="90">
        <f t="shared" si="76"/>
        <v>0</v>
      </c>
      <c r="C70" s="90">
        <f t="shared" si="76"/>
        <v>0</v>
      </c>
      <c r="D70" s="90">
        <f t="shared" si="76"/>
        <v>0</v>
      </c>
      <c r="E70" s="90">
        <f t="shared" si="76"/>
        <v>0</v>
      </c>
      <c r="F70" s="90">
        <f t="shared" si="76"/>
        <v>0</v>
      </c>
      <c r="G70" s="90">
        <f t="shared" si="76"/>
        <v>0</v>
      </c>
      <c r="H70" s="90">
        <f t="shared" si="76"/>
        <v>0</v>
      </c>
    </row>
    <row r="71" spans="1:8">
      <c r="A71" s="75" t="s">
        <v>12</v>
      </c>
      <c r="B71" s="91">
        <f t="shared" ref="B71:H71" si="77">B70/B69*100</f>
        <v>0</v>
      </c>
      <c r="C71" s="91">
        <f t="shared" si="77"/>
        <v>0</v>
      </c>
      <c r="D71" s="91">
        <f t="shared" si="77"/>
        <v>0</v>
      </c>
      <c r="E71" s="91">
        <f t="shared" si="77"/>
        <v>0</v>
      </c>
      <c r="F71" s="91">
        <f t="shared" si="77"/>
        <v>0</v>
      </c>
      <c r="G71" s="91">
        <f t="shared" si="77"/>
        <v>0</v>
      </c>
      <c r="H71" s="91">
        <f t="shared" si="77"/>
        <v>0</v>
      </c>
    </row>
    <row r="72" spans="1:8">
      <c r="A72" s="75" t="s">
        <v>29</v>
      </c>
      <c r="B72" s="90">
        <f t="shared" ref="B72:H73" si="78">K35+S35+AK35</f>
        <v>71.100000000000009</v>
      </c>
      <c r="C72" s="90">
        <f t="shared" si="78"/>
        <v>7770</v>
      </c>
      <c r="D72" s="90">
        <f t="shared" si="78"/>
        <v>6755</v>
      </c>
      <c r="E72" s="90">
        <f t="shared" si="78"/>
        <v>699</v>
      </c>
      <c r="F72" s="90">
        <f t="shared" si="78"/>
        <v>2178</v>
      </c>
      <c r="G72" s="90">
        <f t="shared" si="78"/>
        <v>310</v>
      </c>
      <c r="H72" s="90">
        <f t="shared" si="78"/>
        <v>3568</v>
      </c>
    </row>
    <row r="73" spans="1:8">
      <c r="A73" s="75" t="s">
        <v>48</v>
      </c>
      <c r="B73" s="90">
        <f t="shared" si="78"/>
        <v>102.6</v>
      </c>
      <c r="C73" s="90">
        <f t="shared" si="78"/>
        <v>8090</v>
      </c>
      <c r="D73" s="90">
        <f t="shared" si="78"/>
        <v>7155</v>
      </c>
      <c r="E73" s="90">
        <f t="shared" si="78"/>
        <v>460</v>
      </c>
      <c r="F73" s="90">
        <f t="shared" si="78"/>
        <v>2377</v>
      </c>
      <c r="G73" s="90">
        <f t="shared" si="78"/>
        <v>505</v>
      </c>
      <c r="H73" s="90">
        <f t="shared" si="78"/>
        <v>3813</v>
      </c>
    </row>
    <row r="74" spans="1:8">
      <c r="A74" s="75" t="s">
        <v>12</v>
      </c>
      <c r="B74" s="91">
        <f t="shared" ref="B74:H74" si="79">B73/B72*100</f>
        <v>144.30379746835439</v>
      </c>
      <c r="C74" s="91">
        <f t="shared" si="79"/>
        <v>104.11840411840411</v>
      </c>
      <c r="D74" s="91">
        <f t="shared" si="79"/>
        <v>105.92153960029607</v>
      </c>
      <c r="E74" s="91">
        <f t="shared" si="79"/>
        <v>65.808297567954227</v>
      </c>
      <c r="F74" s="91">
        <f t="shared" si="79"/>
        <v>109.13682277318641</v>
      </c>
      <c r="G74" s="91">
        <f t="shared" si="79"/>
        <v>162.90322580645162</v>
      </c>
      <c r="H74" s="91">
        <f t="shared" si="79"/>
        <v>106.86659192825113</v>
      </c>
    </row>
    <row r="75" spans="1:8">
      <c r="A75" s="75" t="s">
        <v>31</v>
      </c>
      <c r="B75" s="90">
        <f t="shared" ref="B75:H76" si="80">K38+S38+AK38</f>
        <v>103.39999999999999</v>
      </c>
      <c r="C75" s="90">
        <f t="shared" si="80"/>
        <v>4904</v>
      </c>
      <c r="D75" s="90">
        <f t="shared" si="80"/>
        <v>4104</v>
      </c>
      <c r="E75" s="90">
        <f t="shared" si="80"/>
        <v>603</v>
      </c>
      <c r="F75" s="90">
        <f t="shared" si="80"/>
        <v>1450</v>
      </c>
      <c r="G75" s="90">
        <f t="shared" si="80"/>
        <v>225</v>
      </c>
      <c r="H75" s="90">
        <f t="shared" si="80"/>
        <v>1826</v>
      </c>
    </row>
    <row r="76" spans="1:8">
      <c r="A76" s="75" t="s">
        <v>52</v>
      </c>
      <c r="B76" s="90">
        <f t="shared" si="80"/>
        <v>105.7</v>
      </c>
      <c r="C76" s="90">
        <f t="shared" si="80"/>
        <v>4910</v>
      </c>
      <c r="D76" s="90">
        <f t="shared" si="80"/>
        <v>3869</v>
      </c>
      <c r="E76" s="90">
        <f t="shared" si="80"/>
        <v>288</v>
      </c>
      <c r="F76" s="90">
        <f t="shared" si="80"/>
        <v>757</v>
      </c>
      <c r="G76" s="90">
        <f t="shared" si="80"/>
        <v>151</v>
      </c>
      <c r="H76" s="90">
        <f t="shared" si="80"/>
        <v>2673</v>
      </c>
    </row>
    <row r="77" spans="1:8">
      <c r="A77" s="75" t="s">
        <v>12</v>
      </c>
      <c r="B77" s="91">
        <f t="shared" ref="B77:H77" si="81">B76/B75*100</f>
        <v>102.22437137330755</v>
      </c>
      <c r="C77" s="91">
        <f t="shared" si="81"/>
        <v>100.12234910277324</v>
      </c>
      <c r="D77" s="91">
        <f t="shared" si="81"/>
        <v>94.273879142300203</v>
      </c>
      <c r="E77" s="91">
        <f t="shared" si="81"/>
        <v>47.761194029850742</v>
      </c>
      <c r="F77" s="91">
        <f t="shared" si="81"/>
        <v>52.206896551724135</v>
      </c>
      <c r="G77" s="91">
        <f t="shared" si="81"/>
        <v>67.111111111111114</v>
      </c>
      <c r="H77" s="91">
        <f t="shared" si="81"/>
        <v>146.3855421686747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82">B9-B46</f>
        <v>0</v>
      </c>
      <c r="C83" s="83">
        <f t="shared" si="82"/>
        <v>0</v>
      </c>
      <c r="D83" s="83">
        <f t="shared" si="82"/>
        <v>0</v>
      </c>
      <c r="E83" s="83">
        <f t="shared" si="82"/>
        <v>0</v>
      </c>
      <c r="F83" s="83">
        <f t="shared" si="82"/>
        <v>0</v>
      </c>
      <c r="G83" s="83">
        <f t="shared" si="82"/>
        <v>0</v>
      </c>
      <c r="H83" s="83">
        <f t="shared" si="82"/>
        <v>0</v>
      </c>
    </row>
    <row r="84" spans="1:8">
      <c r="A84" s="84" t="s">
        <v>50</v>
      </c>
      <c r="B84" s="83">
        <f t="shared" si="82"/>
        <v>0</v>
      </c>
      <c r="C84" s="83">
        <f t="shared" si="82"/>
        <v>0</v>
      </c>
      <c r="D84" s="83">
        <f t="shared" si="82"/>
        <v>0</v>
      </c>
      <c r="E84" s="83">
        <f t="shared" si="82"/>
        <v>0</v>
      </c>
      <c r="F84" s="83">
        <f t="shared" si="82"/>
        <v>0</v>
      </c>
      <c r="G84" s="83">
        <f t="shared" si="82"/>
        <v>0</v>
      </c>
      <c r="H84" s="83">
        <f t="shared" si="82"/>
        <v>0</v>
      </c>
    </row>
    <row r="85" spans="1:8">
      <c r="A85" s="85" t="s">
        <v>44</v>
      </c>
      <c r="B85" s="83">
        <f t="shared" si="82"/>
        <v>0</v>
      </c>
      <c r="C85" s="83">
        <f t="shared" si="82"/>
        <v>0</v>
      </c>
      <c r="D85" s="83">
        <f t="shared" si="82"/>
        <v>0</v>
      </c>
      <c r="E85" s="83">
        <f t="shared" si="82"/>
        <v>0</v>
      </c>
      <c r="F85" s="83">
        <f t="shared" si="82"/>
        <v>0</v>
      </c>
      <c r="G85" s="83">
        <f t="shared" si="82"/>
        <v>0</v>
      </c>
      <c r="H85" s="83">
        <f t="shared" si="82"/>
        <v>0</v>
      </c>
    </row>
    <row r="86" spans="1:8">
      <c r="A86" s="87" t="s">
        <v>11</v>
      </c>
      <c r="B86" s="83">
        <f t="shared" si="82"/>
        <v>0</v>
      </c>
      <c r="C86" s="83">
        <f t="shared" si="82"/>
        <v>0</v>
      </c>
      <c r="D86" s="83">
        <f t="shared" si="82"/>
        <v>0</v>
      </c>
      <c r="E86" s="83">
        <f t="shared" si="82"/>
        <v>0</v>
      </c>
      <c r="F86" s="83">
        <f t="shared" si="82"/>
        <v>0</v>
      </c>
      <c r="G86" s="83">
        <f t="shared" si="82"/>
        <v>0</v>
      </c>
      <c r="H86" s="83">
        <f t="shared" si="82"/>
        <v>0</v>
      </c>
    </row>
    <row r="87" spans="1:8">
      <c r="A87" s="75" t="s">
        <v>40</v>
      </c>
      <c r="B87" s="83">
        <f t="shared" si="82"/>
        <v>0</v>
      </c>
      <c r="C87" s="83">
        <f t="shared" si="82"/>
        <v>0</v>
      </c>
      <c r="D87" s="83">
        <f t="shared" si="82"/>
        <v>0</v>
      </c>
      <c r="E87" s="83">
        <f t="shared" si="82"/>
        <v>0</v>
      </c>
      <c r="F87" s="83">
        <f t="shared" si="82"/>
        <v>0</v>
      </c>
      <c r="G87" s="83">
        <f t="shared" si="82"/>
        <v>0</v>
      </c>
      <c r="H87" s="83">
        <f t="shared" si="82"/>
        <v>0</v>
      </c>
    </row>
    <row r="88" spans="1:8">
      <c r="A88" s="75" t="s">
        <v>50</v>
      </c>
      <c r="B88" s="83">
        <f t="shared" si="82"/>
        <v>0</v>
      </c>
      <c r="C88" s="83">
        <f t="shared" si="82"/>
        <v>0</v>
      </c>
      <c r="D88" s="83">
        <f t="shared" si="82"/>
        <v>0</v>
      </c>
      <c r="E88" s="83">
        <f t="shared" si="82"/>
        <v>0</v>
      </c>
      <c r="F88" s="83">
        <f t="shared" si="82"/>
        <v>0</v>
      </c>
      <c r="G88" s="83">
        <f t="shared" si="82"/>
        <v>0</v>
      </c>
      <c r="H88" s="83">
        <f t="shared" si="82"/>
        <v>0</v>
      </c>
    </row>
    <row r="89" spans="1:8">
      <c r="A89" s="75" t="s">
        <v>44</v>
      </c>
      <c r="B89" s="83">
        <f t="shared" si="82"/>
        <v>0</v>
      </c>
      <c r="C89" s="83">
        <f t="shared" si="82"/>
        <v>0</v>
      </c>
      <c r="D89" s="83">
        <f t="shared" si="82"/>
        <v>0</v>
      </c>
      <c r="E89" s="83">
        <f t="shared" si="82"/>
        <v>0</v>
      </c>
      <c r="F89" s="83">
        <f t="shared" si="82"/>
        <v>0</v>
      </c>
      <c r="G89" s="83">
        <f t="shared" si="82"/>
        <v>0</v>
      </c>
      <c r="H89" s="83">
        <f t="shared" si="82"/>
        <v>0</v>
      </c>
    </row>
    <row r="90" spans="1:8">
      <c r="A90" s="75" t="s">
        <v>13</v>
      </c>
      <c r="B90" s="83">
        <f t="shared" si="82"/>
        <v>0</v>
      </c>
      <c r="C90" s="83">
        <f t="shared" si="82"/>
        <v>0</v>
      </c>
      <c r="D90" s="83">
        <f t="shared" si="82"/>
        <v>0</v>
      </c>
      <c r="E90" s="83">
        <f t="shared" si="82"/>
        <v>0</v>
      </c>
      <c r="F90" s="83">
        <f t="shared" si="82"/>
        <v>0</v>
      </c>
      <c r="G90" s="83">
        <f t="shared" si="82"/>
        <v>0</v>
      </c>
      <c r="H90" s="83">
        <f t="shared" si="82"/>
        <v>0</v>
      </c>
    </row>
    <row r="91" spans="1:8">
      <c r="A91" s="92" t="s">
        <v>14</v>
      </c>
      <c r="B91" s="83">
        <f t="shared" si="82"/>
        <v>0</v>
      </c>
      <c r="C91" s="83">
        <f t="shared" si="82"/>
        <v>0</v>
      </c>
      <c r="D91" s="83">
        <f t="shared" si="82"/>
        <v>0</v>
      </c>
      <c r="E91" s="83">
        <f t="shared" si="82"/>
        <v>0</v>
      </c>
      <c r="F91" s="83">
        <f t="shared" si="82"/>
        <v>0</v>
      </c>
      <c r="G91" s="83">
        <f t="shared" si="82"/>
        <v>0</v>
      </c>
      <c r="H91" s="83">
        <f t="shared" si="82"/>
        <v>0</v>
      </c>
    </row>
    <row r="92" spans="1:8">
      <c r="A92" s="75" t="s">
        <v>15</v>
      </c>
      <c r="B92" s="83">
        <f t="shared" si="82"/>
        <v>0</v>
      </c>
      <c r="C92" s="83">
        <f t="shared" si="82"/>
        <v>0</v>
      </c>
      <c r="D92" s="83">
        <f t="shared" si="82"/>
        <v>0</v>
      </c>
      <c r="E92" s="83">
        <f t="shared" si="82"/>
        <v>0</v>
      </c>
      <c r="F92" s="83">
        <f t="shared" si="82"/>
        <v>0</v>
      </c>
      <c r="G92" s="83">
        <f t="shared" si="82"/>
        <v>0</v>
      </c>
      <c r="H92" s="83">
        <f t="shared" si="82"/>
        <v>0</v>
      </c>
    </row>
    <row r="93" spans="1:8">
      <c r="A93" s="87" t="s">
        <v>16</v>
      </c>
      <c r="B93" s="83">
        <f t="shared" si="82"/>
        <v>0</v>
      </c>
      <c r="C93" s="83">
        <f t="shared" si="82"/>
        <v>0</v>
      </c>
      <c r="D93" s="83">
        <f t="shared" si="82"/>
        <v>0</v>
      </c>
      <c r="E93" s="83">
        <f t="shared" si="82"/>
        <v>0</v>
      </c>
      <c r="F93" s="83">
        <f t="shared" si="82"/>
        <v>0</v>
      </c>
      <c r="G93" s="83">
        <f t="shared" si="82"/>
        <v>0</v>
      </c>
      <c r="H93" s="83">
        <f t="shared" si="82"/>
        <v>0</v>
      </c>
    </row>
    <row r="94" spans="1:8">
      <c r="A94" s="75" t="s">
        <v>40</v>
      </c>
      <c r="B94" s="83">
        <f t="shared" si="82"/>
        <v>0</v>
      </c>
      <c r="C94" s="83">
        <f t="shared" si="82"/>
        <v>0</v>
      </c>
      <c r="D94" s="83">
        <f t="shared" si="82"/>
        <v>0</v>
      </c>
      <c r="E94" s="83">
        <f t="shared" si="82"/>
        <v>0</v>
      </c>
      <c r="F94" s="83">
        <f t="shared" si="82"/>
        <v>0</v>
      </c>
      <c r="G94" s="83">
        <f t="shared" si="82"/>
        <v>0</v>
      </c>
      <c r="H94" s="83">
        <f t="shared" si="82"/>
        <v>0</v>
      </c>
    </row>
    <row r="95" spans="1:8">
      <c r="A95" s="92" t="s">
        <v>50</v>
      </c>
      <c r="B95" s="83">
        <f t="shared" si="82"/>
        <v>0</v>
      </c>
      <c r="C95" s="83">
        <f t="shared" si="82"/>
        <v>0</v>
      </c>
      <c r="D95" s="83">
        <f t="shared" si="82"/>
        <v>0</v>
      </c>
      <c r="E95" s="83">
        <f t="shared" si="82"/>
        <v>0</v>
      </c>
      <c r="F95" s="83">
        <f t="shared" si="82"/>
        <v>0</v>
      </c>
      <c r="G95" s="83">
        <f t="shared" si="82"/>
        <v>0</v>
      </c>
      <c r="H95" s="83">
        <f t="shared" si="82"/>
        <v>0</v>
      </c>
    </row>
    <row r="96" spans="1:8">
      <c r="A96" s="75" t="s">
        <v>44</v>
      </c>
      <c r="B96" s="83">
        <f t="shared" si="82"/>
        <v>0</v>
      </c>
      <c r="C96" s="83">
        <f t="shared" si="82"/>
        <v>0</v>
      </c>
      <c r="D96" s="83">
        <f t="shared" si="82"/>
        <v>0</v>
      </c>
      <c r="E96" s="83">
        <f t="shared" si="82"/>
        <v>0</v>
      </c>
      <c r="F96" s="83">
        <f t="shared" si="82"/>
        <v>0</v>
      </c>
      <c r="G96" s="83">
        <f t="shared" si="82"/>
        <v>0</v>
      </c>
      <c r="H96" s="83">
        <f t="shared" si="82"/>
        <v>0</v>
      </c>
    </row>
    <row r="97" spans="1:8">
      <c r="A97" s="75" t="s">
        <v>21</v>
      </c>
      <c r="B97" s="83">
        <f t="shared" si="82"/>
        <v>0</v>
      </c>
      <c r="C97" s="83">
        <f t="shared" si="82"/>
        <v>0</v>
      </c>
      <c r="D97" s="83">
        <f t="shared" si="82"/>
        <v>0</v>
      </c>
      <c r="E97" s="83">
        <f t="shared" si="82"/>
        <v>0</v>
      </c>
      <c r="F97" s="83">
        <f t="shared" si="82"/>
        <v>0</v>
      </c>
      <c r="G97" s="83">
        <f t="shared" si="82"/>
        <v>0</v>
      </c>
      <c r="H97" s="83">
        <f t="shared" si="82"/>
        <v>0</v>
      </c>
    </row>
    <row r="98" spans="1:8">
      <c r="A98" s="75" t="s">
        <v>51</v>
      </c>
      <c r="B98" s="83">
        <f t="shared" si="82"/>
        <v>0</v>
      </c>
      <c r="C98" s="83">
        <f t="shared" si="82"/>
        <v>0</v>
      </c>
      <c r="D98" s="83">
        <f t="shared" si="82"/>
        <v>0</v>
      </c>
      <c r="E98" s="83">
        <f t="shared" si="82"/>
        <v>0</v>
      </c>
      <c r="F98" s="83">
        <f t="shared" si="82"/>
        <v>0</v>
      </c>
      <c r="G98" s="83">
        <f t="shared" si="82"/>
        <v>0</v>
      </c>
      <c r="H98" s="83">
        <f t="shared" si="82"/>
        <v>0</v>
      </c>
    </row>
    <row r="99" spans="1:8">
      <c r="A99" s="75" t="s">
        <v>12</v>
      </c>
      <c r="B99" s="83" t="e">
        <f t="shared" ref="B99:H114" si="83">B25-B62</f>
        <v>#DIV/0!</v>
      </c>
      <c r="C99" s="83" t="e">
        <f t="shared" si="83"/>
        <v>#DIV/0!</v>
      </c>
      <c r="D99" s="83" t="e">
        <f t="shared" si="83"/>
        <v>#DIV/0!</v>
      </c>
      <c r="E99" s="83" t="e">
        <f t="shared" si="83"/>
        <v>#DIV/0!</v>
      </c>
      <c r="F99" s="83" t="e">
        <f t="shared" si="83"/>
        <v>#DIV/0!</v>
      </c>
      <c r="G99" s="83" t="e">
        <f t="shared" si="83"/>
        <v>#DIV/0!</v>
      </c>
      <c r="H99" s="83" t="e">
        <f t="shared" si="83"/>
        <v>#DIV/0!</v>
      </c>
    </row>
    <row r="100" spans="1:8">
      <c r="A100" s="75" t="s">
        <v>23</v>
      </c>
      <c r="B100" s="83">
        <f t="shared" si="83"/>
        <v>0</v>
      </c>
      <c r="C100" s="83">
        <f t="shared" si="83"/>
        <v>0</v>
      </c>
      <c r="D100" s="83">
        <f t="shared" si="83"/>
        <v>0</v>
      </c>
      <c r="E100" s="83">
        <f t="shared" si="83"/>
        <v>0</v>
      </c>
      <c r="F100" s="83">
        <f t="shared" si="83"/>
        <v>0</v>
      </c>
      <c r="G100" s="83">
        <f t="shared" si="83"/>
        <v>0</v>
      </c>
      <c r="H100" s="83">
        <f t="shared" si="83"/>
        <v>0</v>
      </c>
    </row>
    <row r="101" spans="1:8">
      <c r="A101" s="75" t="s">
        <v>45</v>
      </c>
      <c r="B101" s="83">
        <f t="shared" si="83"/>
        <v>0</v>
      </c>
      <c r="C101" s="83">
        <f t="shared" si="83"/>
        <v>0</v>
      </c>
      <c r="D101" s="83">
        <f t="shared" si="83"/>
        <v>0</v>
      </c>
      <c r="E101" s="83">
        <f t="shared" si="83"/>
        <v>0</v>
      </c>
      <c r="F101" s="83">
        <f t="shared" si="83"/>
        <v>0</v>
      </c>
      <c r="G101" s="83">
        <f t="shared" si="83"/>
        <v>0</v>
      </c>
      <c r="H101" s="83">
        <f t="shared" si="83"/>
        <v>0</v>
      </c>
    </row>
    <row r="102" spans="1:8">
      <c r="A102" s="75" t="s">
        <v>12</v>
      </c>
      <c r="B102" s="83">
        <f t="shared" si="83"/>
        <v>0</v>
      </c>
      <c r="C102" s="83">
        <f t="shared" si="83"/>
        <v>0</v>
      </c>
      <c r="D102" s="83">
        <f t="shared" si="83"/>
        <v>0</v>
      </c>
      <c r="E102" s="83">
        <f t="shared" si="83"/>
        <v>0</v>
      </c>
      <c r="F102" s="83">
        <f t="shared" si="83"/>
        <v>0</v>
      </c>
      <c r="G102" s="83">
        <f t="shared" si="83"/>
        <v>0</v>
      </c>
      <c r="H102" s="83">
        <f t="shared" si="83"/>
        <v>0</v>
      </c>
    </row>
    <row r="103" spans="1:8">
      <c r="A103" s="75" t="s">
        <v>25</v>
      </c>
      <c r="B103" s="83">
        <f t="shared" si="83"/>
        <v>0</v>
      </c>
      <c r="C103" s="83">
        <f t="shared" si="83"/>
        <v>0</v>
      </c>
      <c r="D103" s="83">
        <f t="shared" si="83"/>
        <v>0</v>
      </c>
      <c r="E103" s="83">
        <f t="shared" si="83"/>
        <v>0</v>
      </c>
      <c r="F103" s="83">
        <f t="shared" si="83"/>
        <v>0</v>
      </c>
      <c r="G103" s="83">
        <f t="shared" si="83"/>
        <v>0</v>
      </c>
      <c r="H103" s="83">
        <f t="shared" si="83"/>
        <v>0</v>
      </c>
    </row>
    <row r="104" spans="1:8">
      <c r="A104" s="75" t="s">
        <v>46</v>
      </c>
      <c r="B104" s="83">
        <f t="shared" si="83"/>
        <v>0</v>
      </c>
      <c r="C104" s="83">
        <f t="shared" si="83"/>
        <v>0</v>
      </c>
      <c r="D104" s="83">
        <f t="shared" si="83"/>
        <v>0</v>
      </c>
      <c r="E104" s="83">
        <f t="shared" si="83"/>
        <v>0</v>
      </c>
      <c r="F104" s="83">
        <f t="shared" si="83"/>
        <v>0</v>
      </c>
      <c r="G104" s="83">
        <f t="shared" si="83"/>
        <v>0</v>
      </c>
      <c r="H104" s="83">
        <f t="shared" si="83"/>
        <v>0</v>
      </c>
    </row>
    <row r="105" spans="1:8">
      <c r="A105" s="75" t="s">
        <v>12</v>
      </c>
      <c r="B105" s="83">
        <f t="shared" si="83"/>
        <v>0</v>
      </c>
      <c r="C105" s="83">
        <f t="shared" si="83"/>
        <v>0</v>
      </c>
      <c r="D105" s="83">
        <f t="shared" si="83"/>
        <v>0</v>
      </c>
      <c r="E105" s="83">
        <f t="shared" si="83"/>
        <v>0</v>
      </c>
      <c r="F105" s="83">
        <f t="shared" si="83"/>
        <v>0</v>
      </c>
      <c r="G105" s="83">
        <f t="shared" si="83"/>
        <v>0</v>
      </c>
      <c r="H105" s="83">
        <f t="shared" si="83"/>
        <v>0</v>
      </c>
    </row>
    <row r="106" spans="1:8">
      <c r="A106" s="75" t="s">
        <v>27</v>
      </c>
      <c r="B106" s="83">
        <f t="shared" si="83"/>
        <v>0</v>
      </c>
      <c r="C106" s="83">
        <f t="shared" si="83"/>
        <v>0</v>
      </c>
      <c r="D106" s="83">
        <f t="shared" si="83"/>
        <v>0</v>
      </c>
      <c r="E106" s="83">
        <f t="shared" si="83"/>
        <v>0</v>
      </c>
      <c r="F106" s="83">
        <f t="shared" si="83"/>
        <v>0</v>
      </c>
      <c r="G106" s="83">
        <f t="shared" si="83"/>
        <v>0</v>
      </c>
      <c r="H106" s="83">
        <f t="shared" si="83"/>
        <v>0</v>
      </c>
    </row>
    <row r="107" spans="1:8">
      <c r="A107" s="75" t="s">
        <v>47</v>
      </c>
      <c r="B107" s="83">
        <f t="shared" si="83"/>
        <v>0</v>
      </c>
      <c r="C107" s="83">
        <f t="shared" si="83"/>
        <v>0</v>
      </c>
      <c r="D107" s="83">
        <f t="shared" si="83"/>
        <v>0</v>
      </c>
      <c r="E107" s="83">
        <f t="shared" si="83"/>
        <v>0</v>
      </c>
      <c r="F107" s="83">
        <f t="shared" si="83"/>
        <v>0</v>
      </c>
      <c r="G107" s="83">
        <f t="shared" si="83"/>
        <v>0</v>
      </c>
      <c r="H107" s="83">
        <f t="shared" si="83"/>
        <v>0</v>
      </c>
    </row>
    <row r="108" spans="1:8">
      <c r="A108" s="75" t="s">
        <v>12</v>
      </c>
      <c r="B108" s="83">
        <f t="shared" si="83"/>
        <v>0</v>
      </c>
      <c r="C108" s="83">
        <f t="shared" si="83"/>
        <v>0</v>
      </c>
      <c r="D108" s="83">
        <f t="shared" si="83"/>
        <v>0</v>
      </c>
      <c r="E108" s="83">
        <f t="shared" si="83"/>
        <v>0</v>
      </c>
      <c r="F108" s="83">
        <f t="shared" si="83"/>
        <v>0</v>
      </c>
      <c r="G108" s="83">
        <f t="shared" si="83"/>
        <v>0</v>
      </c>
      <c r="H108" s="83">
        <f t="shared" si="83"/>
        <v>0</v>
      </c>
    </row>
    <row r="109" spans="1:8">
      <c r="A109" s="75" t="s">
        <v>29</v>
      </c>
      <c r="B109" s="83">
        <f t="shared" si="83"/>
        <v>0</v>
      </c>
      <c r="C109" s="83">
        <f t="shared" si="83"/>
        <v>0</v>
      </c>
      <c r="D109" s="83">
        <f t="shared" si="83"/>
        <v>0</v>
      </c>
      <c r="E109" s="83">
        <f t="shared" si="83"/>
        <v>0</v>
      </c>
      <c r="F109" s="83">
        <f t="shared" si="83"/>
        <v>0</v>
      </c>
      <c r="G109" s="83">
        <f t="shared" si="83"/>
        <v>0</v>
      </c>
      <c r="H109" s="83">
        <f t="shared" si="83"/>
        <v>0</v>
      </c>
    </row>
    <row r="110" spans="1:8">
      <c r="A110" s="75" t="s">
        <v>48</v>
      </c>
      <c r="B110" s="83">
        <f t="shared" si="83"/>
        <v>0</v>
      </c>
      <c r="C110" s="83">
        <f t="shared" si="83"/>
        <v>0</v>
      </c>
      <c r="D110" s="83">
        <f t="shared" si="83"/>
        <v>0</v>
      </c>
      <c r="E110" s="83">
        <f t="shared" si="83"/>
        <v>0</v>
      </c>
      <c r="F110" s="83">
        <f t="shared" si="83"/>
        <v>0</v>
      </c>
      <c r="G110" s="83">
        <f t="shared" si="83"/>
        <v>0</v>
      </c>
      <c r="H110" s="83">
        <f t="shared" si="83"/>
        <v>0</v>
      </c>
    </row>
    <row r="111" spans="1:8">
      <c r="A111" s="75" t="s">
        <v>12</v>
      </c>
      <c r="B111" s="83">
        <f t="shared" si="83"/>
        <v>0</v>
      </c>
      <c r="C111" s="83">
        <f t="shared" si="83"/>
        <v>0</v>
      </c>
      <c r="D111" s="83">
        <f t="shared" si="83"/>
        <v>0</v>
      </c>
      <c r="E111" s="83">
        <f t="shared" si="83"/>
        <v>0</v>
      </c>
      <c r="F111" s="83">
        <f t="shared" si="83"/>
        <v>0</v>
      </c>
      <c r="G111" s="83">
        <f t="shared" si="83"/>
        <v>0</v>
      </c>
      <c r="H111" s="83">
        <f t="shared" si="83"/>
        <v>0</v>
      </c>
    </row>
    <row r="112" spans="1:8">
      <c r="A112" s="75" t="s">
        <v>31</v>
      </c>
      <c r="B112" s="83">
        <f t="shared" si="83"/>
        <v>0</v>
      </c>
      <c r="C112" s="83">
        <f t="shared" si="83"/>
        <v>0</v>
      </c>
      <c r="D112" s="83">
        <f t="shared" si="83"/>
        <v>0</v>
      </c>
      <c r="E112" s="83">
        <f t="shared" si="83"/>
        <v>0</v>
      </c>
      <c r="F112" s="83">
        <f t="shared" si="83"/>
        <v>0</v>
      </c>
      <c r="G112" s="83">
        <f t="shared" si="83"/>
        <v>0</v>
      </c>
      <c r="H112" s="83">
        <f t="shared" si="83"/>
        <v>0</v>
      </c>
    </row>
    <row r="113" spans="1:8">
      <c r="A113" s="75" t="s">
        <v>52</v>
      </c>
      <c r="B113" s="83">
        <f t="shared" si="83"/>
        <v>0</v>
      </c>
      <c r="C113" s="83">
        <f t="shared" si="83"/>
        <v>0</v>
      </c>
      <c r="D113" s="83">
        <f t="shared" si="83"/>
        <v>0</v>
      </c>
      <c r="E113" s="83">
        <f t="shared" si="83"/>
        <v>0</v>
      </c>
      <c r="F113" s="83">
        <f t="shared" si="83"/>
        <v>0</v>
      </c>
      <c r="G113" s="83">
        <f t="shared" si="83"/>
        <v>0</v>
      </c>
      <c r="H113" s="83">
        <f t="shared" si="83"/>
        <v>0</v>
      </c>
    </row>
    <row r="114" spans="1:8">
      <c r="A114" s="75" t="s">
        <v>12</v>
      </c>
      <c r="B114" s="83">
        <f t="shared" si="83"/>
        <v>0</v>
      </c>
      <c r="C114" s="83">
        <f t="shared" si="83"/>
        <v>0</v>
      </c>
      <c r="D114" s="83">
        <f t="shared" si="83"/>
        <v>0</v>
      </c>
      <c r="E114" s="83">
        <f t="shared" si="83"/>
        <v>0</v>
      </c>
      <c r="F114" s="83">
        <f t="shared" si="83"/>
        <v>0</v>
      </c>
      <c r="G114" s="83">
        <f t="shared" si="83"/>
        <v>0</v>
      </c>
      <c r="H114" s="83">
        <f t="shared" si="83"/>
        <v>0</v>
      </c>
    </row>
  </sheetData>
  <mergeCells count="2">
    <mergeCell ref="A4:H4"/>
    <mergeCell ref="C5:H5"/>
  </mergeCells>
  <phoneticPr fontId="17" type="noConversion"/>
  <pageMargins left="0.38" right="0.21" top="0.33" bottom="0.28999999999999998" header="0.13" footer="0.1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6"/>
  <dimension ref="A1:AY114"/>
  <sheetViews>
    <sheetView zoomScale="85" zoomScaleNormal="85" workbookViewId="0">
      <selection activeCell="A9" sqref="A9:AQ40"/>
    </sheetView>
  </sheetViews>
  <sheetFormatPr defaultRowHeight="13.2"/>
  <cols>
    <col min="1" max="1" width="14.88671875" customWidth="1"/>
    <col min="2" max="2" width="7.6640625" customWidth="1"/>
    <col min="3" max="3" width="8" customWidth="1"/>
    <col min="5" max="5" width="7" customWidth="1"/>
    <col min="6" max="6" width="7.5546875" customWidth="1"/>
    <col min="7" max="7" width="7.88671875" customWidth="1"/>
    <col min="8" max="8" width="6.5546875" customWidth="1"/>
    <col min="9" max="9" width="3.5546875" customWidth="1"/>
    <col min="10" max="10" width="15.33203125" customWidth="1"/>
    <col min="11" max="11" width="7" customWidth="1"/>
    <col min="12" max="12" width="7.88671875" customWidth="1"/>
    <col min="14" max="14" width="7" customWidth="1"/>
    <col min="15" max="15" width="7.6640625" customWidth="1"/>
    <col min="16" max="16" width="6.5546875" customWidth="1"/>
    <col min="17" max="17" width="6.88671875" customWidth="1"/>
    <col min="18" max="18" width="14" customWidth="1"/>
    <col min="19" max="20" width="7.33203125" customWidth="1"/>
    <col min="22" max="22" width="7.33203125" customWidth="1"/>
    <col min="23" max="23" width="7.5546875" customWidth="1"/>
    <col min="24" max="24" width="7.88671875" customWidth="1"/>
    <col min="25" max="25" width="6.6640625" customWidth="1"/>
    <col min="26" max="26" width="4.109375" customWidth="1"/>
    <col min="27" max="27" width="14.109375" customWidth="1"/>
    <col min="28" max="28" width="7.33203125" customWidth="1"/>
    <col min="29" max="29" width="7.88671875" customWidth="1"/>
    <col min="31" max="31" width="7.33203125" customWidth="1"/>
    <col min="32" max="32" width="7.88671875" customWidth="1"/>
    <col min="33" max="33" width="8" customWidth="1"/>
    <col min="34" max="34" width="7.109375" customWidth="1"/>
    <col min="35" max="35" width="11.109375" customWidth="1"/>
  </cols>
  <sheetData>
    <row r="1" spans="1:46" s="37" customFormat="1" ht="15.6">
      <c r="Q1" s="38" t="s">
        <v>33</v>
      </c>
    </row>
    <row r="2" spans="1:46" s="12" customFormat="1" ht="15.75" customHeight="1">
      <c r="H2" s="39" t="s">
        <v>34</v>
      </c>
    </row>
    <row r="3" spans="1:46" s="12" customFormat="1" ht="18.75" customHeight="1">
      <c r="H3" s="39" t="s">
        <v>60</v>
      </c>
    </row>
    <row r="4" spans="1:46" s="37" customFormat="1" ht="35.25" customHeight="1">
      <c r="A4" s="494" t="s">
        <v>117</v>
      </c>
      <c r="B4" s="494"/>
      <c r="C4" s="494"/>
      <c r="D4" s="494"/>
      <c r="E4" s="494"/>
      <c r="F4" s="494"/>
      <c r="G4" s="494"/>
      <c r="H4" s="494"/>
      <c r="I4" s="40"/>
      <c r="J4" s="40"/>
      <c r="K4" s="12"/>
      <c r="L4" s="12"/>
      <c r="M4" s="12"/>
      <c r="N4" s="12"/>
      <c r="O4" s="12"/>
      <c r="P4" s="12"/>
      <c r="Q4" s="12"/>
    </row>
    <row r="5" spans="1:46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46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</row>
    <row r="7" spans="1:46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</row>
    <row r="8" spans="1:46" s="115" customFormat="1">
      <c r="A8" s="525" t="s">
        <v>17</v>
      </c>
      <c r="B8" s="526"/>
      <c r="C8" s="526"/>
      <c r="D8" s="526"/>
      <c r="E8" s="526"/>
      <c r="F8" s="526"/>
      <c r="G8" s="526"/>
      <c r="H8" s="527"/>
      <c r="I8" s="13"/>
      <c r="J8" s="525" t="s">
        <v>17</v>
      </c>
      <c r="K8" s="526"/>
      <c r="L8" s="526"/>
      <c r="M8" s="526"/>
      <c r="N8" s="526"/>
      <c r="O8" s="526"/>
      <c r="P8" s="526"/>
      <c r="Q8" s="527"/>
      <c r="R8" s="525" t="s">
        <v>17</v>
      </c>
      <c r="S8" s="526"/>
      <c r="T8" s="526"/>
      <c r="U8" s="526"/>
      <c r="V8" s="526"/>
      <c r="W8" s="526"/>
      <c r="X8" s="526"/>
      <c r="Y8" s="527"/>
      <c r="Z8" s="13"/>
      <c r="AA8" s="525" t="s">
        <v>17</v>
      </c>
      <c r="AB8" s="526"/>
      <c r="AC8" s="526"/>
      <c r="AD8" s="526"/>
      <c r="AE8" s="526"/>
      <c r="AF8" s="526"/>
      <c r="AG8" s="526"/>
      <c r="AH8" s="527"/>
      <c r="AI8" s="13"/>
      <c r="AJ8" s="525" t="s">
        <v>17</v>
      </c>
      <c r="AK8" s="526"/>
      <c r="AL8" s="526"/>
      <c r="AM8" s="526"/>
      <c r="AN8" s="526"/>
      <c r="AO8" s="526"/>
      <c r="AP8" s="526"/>
      <c r="AQ8" s="527"/>
    </row>
    <row r="9" spans="1:46" s="115" customFormat="1">
      <c r="A9" s="268" t="s">
        <v>18</v>
      </c>
      <c r="B9" s="269">
        <f>+K9+S9+AK9</f>
        <v>822.69999999999993</v>
      </c>
      <c r="C9" s="430">
        <f t="shared" ref="C9:H9" si="0">+L9+T9+AL9</f>
        <v>41568</v>
      </c>
      <c r="D9" s="430">
        <f t="shared" si="0"/>
        <v>37466</v>
      </c>
      <c r="E9" s="430">
        <f t="shared" si="0"/>
        <v>2760</v>
      </c>
      <c r="F9" s="430">
        <f t="shared" si="0"/>
        <v>8368</v>
      </c>
      <c r="G9" s="430">
        <f t="shared" si="0"/>
        <v>1484</v>
      </c>
      <c r="H9" s="430">
        <f t="shared" si="0"/>
        <v>24168</v>
      </c>
      <c r="I9" s="13"/>
      <c r="J9" s="268" t="s">
        <v>18</v>
      </c>
      <c r="K9" s="269">
        <f>+K13+K20</f>
        <v>359.19999999999993</v>
      </c>
      <c r="L9" s="430">
        <f t="shared" ref="L9:Q9" si="1">+L13+L20</f>
        <v>11680</v>
      </c>
      <c r="M9" s="430">
        <f t="shared" si="1"/>
        <v>10195</v>
      </c>
      <c r="N9" s="430">
        <f t="shared" si="1"/>
        <v>478</v>
      </c>
      <c r="O9" s="430">
        <f t="shared" si="1"/>
        <v>2593</v>
      </c>
      <c r="P9" s="430">
        <f t="shared" si="1"/>
        <v>435</v>
      </c>
      <c r="Q9" s="430">
        <f t="shared" si="1"/>
        <v>6465</v>
      </c>
      <c r="R9" s="268" t="s">
        <v>18</v>
      </c>
      <c r="S9" s="269">
        <f>+S20+S13</f>
        <v>457.9</v>
      </c>
      <c r="T9" s="430">
        <f t="shared" ref="T9:Y9" si="2">+T20+T13</f>
        <v>29585</v>
      </c>
      <c r="U9" s="430">
        <f t="shared" si="2"/>
        <v>27004</v>
      </c>
      <c r="V9" s="430">
        <f t="shared" si="2"/>
        <v>2280</v>
      </c>
      <c r="W9" s="430">
        <f t="shared" si="2"/>
        <v>5715</v>
      </c>
      <c r="X9" s="430">
        <f t="shared" si="2"/>
        <v>1021</v>
      </c>
      <c r="Y9" s="430">
        <f t="shared" si="2"/>
        <v>17533</v>
      </c>
      <c r="Z9" s="13"/>
      <c r="AA9" s="268" t="s">
        <v>18</v>
      </c>
      <c r="AB9" s="269">
        <f>+AB20+AB13</f>
        <v>80.900000000000006</v>
      </c>
      <c r="AC9" s="430">
        <f t="shared" ref="AC9:AH10" si="3">+AC20+AC13</f>
        <v>5762</v>
      </c>
      <c r="AD9" s="430">
        <f t="shared" si="3"/>
        <v>5168</v>
      </c>
      <c r="AE9" s="430">
        <f t="shared" si="3"/>
        <v>1770</v>
      </c>
      <c r="AF9" s="430">
        <f t="shared" si="3"/>
        <v>714</v>
      </c>
      <c r="AG9" s="430">
        <f t="shared" si="3"/>
        <v>105</v>
      </c>
      <c r="AH9" s="430">
        <f t="shared" si="3"/>
        <v>2504</v>
      </c>
      <c r="AI9" s="13"/>
      <c r="AJ9" s="268" t="s">
        <v>18</v>
      </c>
      <c r="AK9" s="269">
        <f>AK13+AK20</f>
        <v>5.6</v>
      </c>
      <c r="AL9" s="430">
        <f t="shared" ref="AL9:AQ10" si="4">AL13+AL20</f>
        <v>303</v>
      </c>
      <c r="AM9" s="430">
        <f t="shared" si="4"/>
        <v>267</v>
      </c>
      <c r="AN9" s="430">
        <f t="shared" si="4"/>
        <v>2</v>
      </c>
      <c r="AO9" s="430">
        <f t="shared" si="4"/>
        <v>60</v>
      </c>
      <c r="AP9" s="430">
        <f t="shared" si="4"/>
        <v>28</v>
      </c>
      <c r="AQ9" s="430">
        <f t="shared" si="4"/>
        <v>170</v>
      </c>
    </row>
    <row r="10" spans="1:46" s="115" customFormat="1">
      <c r="A10" s="270" t="s">
        <v>19</v>
      </c>
      <c r="B10" s="22">
        <f>SUM(+B21+B14)</f>
        <v>845.9</v>
      </c>
      <c r="C10" s="23">
        <f t="shared" ref="C10:H10" si="5">SUM(+C21+C14)</f>
        <v>43477</v>
      </c>
      <c r="D10" s="23">
        <f>+E10+F10+G10+H10</f>
        <v>41177</v>
      </c>
      <c r="E10" s="23">
        <f t="shared" si="5"/>
        <v>5460</v>
      </c>
      <c r="F10" s="23">
        <f t="shared" si="5"/>
        <v>6012</v>
      </c>
      <c r="G10" s="23">
        <f t="shared" si="5"/>
        <v>993</v>
      </c>
      <c r="H10" s="23">
        <f t="shared" si="5"/>
        <v>28712</v>
      </c>
      <c r="I10" s="271"/>
      <c r="J10" s="270" t="s">
        <v>19</v>
      </c>
      <c r="K10" s="22">
        <f>SUM(+K14+K21)</f>
        <v>382.9</v>
      </c>
      <c r="L10" s="23">
        <f t="shared" ref="L10:Q10" si="6">SUM(+L14+L21)</f>
        <v>15533</v>
      </c>
      <c r="M10" s="23">
        <f>SUM(+M14+M21)</f>
        <v>14970</v>
      </c>
      <c r="N10" s="23">
        <f t="shared" si="6"/>
        <v>1277</v>
      </c>
      <c r="O10" s="23">
        <f t="shared" si="6"/>
        <v>2221</v>
      </c>
      <c r="P10" s="23">
        <f t="shared" si="6"/>
        <v>269</v>
      </c>
      <c r="Q10" s="23">
        <f t="shared" si="6"/>
        <v>11203</v>
      </c>
      <c r="R10" s="270" t="s">
        <v>19</v>
      </c>
      <c r="S10" s="22">
        <f>SUM(+S14+S21)</f>
        <v>457.5</v>
      </c>
      <c r="T10" s="23">
        <f t="shared" ref="T10:Y10" si="7">SUM(+T14+T21)</f>
        <v>27580</v>
      </c>
      <c r="U10" s="23">
        <f t="shared" si="7"/>
        <v>25857</v>
      </c>
      <c r="V10" s="23">
        <f t="shared" si="7"/>
        <v>4137</v>
      </c>
      <c r="W10" s="23">
        <f t="shared" si="7"/>
        <v>3769</v>
      </c>
      <c r="X10" s="23">
        <f t="shared" si="7"/>
        <v>721</v>
      </c>
      <c r="Y10" s="23">
        <f t="shared" si="7"/>
        <v>17230</v>
      </c>
      <c r="Z10" s="13"/>
      <c r="AA10" s="270" t="s">
        <v>19</v>
      </c>
      <c r="AB10" s="22">
        <f>+AB21+AB14</f>
        <v>96.6</v>
      </c>
      <c r="AC10" s="23">
        <f t="shared" si="3"/>
        <v>6444</v>
      </c>
      <c r="AD10" s="23">
        <f t="shared" si="3"/>
        <v>5862</v>
      </c>
      <c r="AE10" s="23">
        <f t="shared" si="3"/>
        <v>2171</v>
      </c>
      <c r="AF10" s="23">
        <f t="shared" si="3"/>
        <v>900</v>
      </c>
      <c r="AG10" s="23">
        <f t="shared" si="3"/>
        <v>85</v>
      </c>
      <c r="AH10" s="23">
        <f t="shared" si="3"/>
        <v>2706</v>
      </c>
      <c r="AI10" s="13"/>
      <c r="AJ10" s="270" t="s">
        <v>19</v>
      </c>
      <c r="AK10" s="43">
        <f>AK14+AK21</f>
        <v>5.5</v>
      </c>
      <c r="AL10" s="43">
        <f t="shared" si="4"/>
        <v>364</v>
      </c>
      <c r="AM10" s="43">
        <f t="shared" si="4"/>
        <v>350</v>
      </c>
      <c r="AN10" s="43">
        <f t="shared" si="4"/>
        <v>46</v>
      </c>
      <c r="AO10" s="43">
        <f t="shared" si="4"/>
        <v>22</v>
      </c>
      <c r="AP10" s="43">
        <f t="shared" si="4"/>
        <v>3</v>
      </c>
      <c r="AQ10" s="43">
        <f t="shared" si="4"/>
        <v>279</v>
      </c>
    </row>
    <row r="11" spans="1:46" s="115" customFormat="1">
      <c r="A11" s="43" t="s">
        <v>20</v>
      </c>
      <c r="B11" s="272">
        <f t="shared" ref="B11:H11" si="8">B10/B9*100</f>
        <v>102.81998298286132</v>
      </c>
      <c r="C11" s="272">
        <f t="shared" si="8"/>
        <v>104.59247498075443</v>
      </c>
      <c r="D11" s="272">
        <f t="shared" si="8"/>
        <v>109.90498051566755</v>
      </c>
      <c r="E11" s="272">
        <f t="shared" si="8"/>
        <v>197.82608695652172</v>
      </c>
      <c r="F11" s="272">
        <f t="shared" si="8"/>
        <v>71.845124282982781</v>
      </c>
      <c r="G11" s="272">
        <f t="shared" si="8"/>
        <v>66.913746630727772</v>
      </c>
      <c r="H11" s="272">
        <f t="shared" si="8"/>
        <v>118.80172128434295</v>
      </c>
      <c r="I11" s="13"/>
      <c r="J11" s="43" t="s">
        <v>20</v>
      </c>
      <c r="K11" s="272">
        <f t="shared" ref="K11:Q11" si="9">K10/K9*100</f>
        <v>106.59799554565703</v>
      </c>
      <c r="L11" s="272">
        <f t="shared" si="9"/>
        <v>132.98801369863014</v>
      </c>
      <c r="M11" s="272">
        <f t="shared" si="9"/>
        <v>146.83668464933791</v>
      </c>
      <c r="N11" s="272">
        <f t="shared" si="9"/>
        <v>267.15481171548117</v>
      </c>
      <c r="O11" s="272">
        <f t="shared" si="9"/>
        <v>85.653682992672572</v>
      </c>
      <c r="P11" s="272">
        <f t="shared" si="9"/>
        <v>61.839080459770116</v>
      </c>
      <c r="Q11" s="272">
        <f t="shared" si="9"/>
        <v>173.28692962103636</v>
      </c>
      <c r="R11" s="43" t="s">
        <v>20</v>
      </c>
      <c r="S11" s="272">
        <f>S10/S9*100</f>
        <v>99.91264468224503</v>
      </c>
      <c r="T11" s="272">
        <f t="shared" ref="T11:Y11" si="10">T10/T9*100</f>
        <v>93.222917018759517</v>
      </c>
      <c r="U11" s="272">
        <f t="shared" si="10"/>
        <v>95.752481113909056</v>
      </c>
      <c r="V11" s="272">
        <f t="shared" si="10"/>
        <v>181.44736842105263</v>
      </c>
      <c r="W11" s="272">
        <f t="shared" si="10"/>
        <v>65.949256342957128</v>
      </c>
      <c r="X11" s="272">
        <f t="shared" si="10"/>
        <v>70.617042115572971</v>
      </c>
      <c r="Y11" s="272">
        <f t="shared" si="10"/>
        <v>98.271830262932752</v>
      </c>
      <c r="Z11" s="13"/>
      <c r="AA11" s="43" t="s">
        <v>20</v>
      </c>
      <c r="AB11" s="272">
        <f t="shared" ref="AB11:AH11" si="11">AB10/AB9*100</f>
        <v>119.40667490729294</v>
      </c>
      <c r="AC11" s="272">
        <f t="shared" si="11"/>
        <v>111.83616799722319</v>
      </c>
      <c r="AD11" s="272">
        <f t="shared" si="11"/>
        <v>113.42879256965945</v>
      </c>
      <c r="AE11" s="272">
        <f t="shared" si="11"/>
        <v>122.65536723163841</v>
      </c>
      <c r="AF11" s="272">
        <f t="shared" si="11"/>
        <v>126.05042016806722</v>
      </c>
      <c r="AG11" s="272">
        <f t="shared" si="11"/>
        <v>80.952380952380949</v>
      </c>
      <c r="AH11" s="272">
        <f t="shared" si="11"/>
        <v>108.06709265175718</v>
      </c>
      <c r="AI11" s="13"/>
      <c r="AJ11" s="43" t="s">
        <v>20</v>
      </c>
      <c r="AK11" s="272">
        <f t="shared" ref="AK11:AQ11" si="12">AK10/AK9*100</f>
        <v>98.214285714285722</v>
      </c>
      <c r="AL11" s="272">
        <f t="shared" si="12"/>
        <v>120.13201320132015</v>
      </c>
      <c r="AM11" s="272">
        <f t="shared" si="12"/>
        <v>131.08614232209737</v>
      </c>
      <c r="AN11" s="272">
        <f t="shared" si="12"/>
        <v>2300</v>
      </c>
      <c r="AO11" s="272">
        <f t="shared" si="12"/>
        <v>36.666666666666664</v>
      </c>
      <c r="AP11" s="272">
        <f t="shared" si="12"/>
        <v>10.714285714285714</v>
      </c>
      <c r="AQ11" s="272">
        <f t="shared" si="12"/>
        <v>164.11764705882354</v>
      </c>
    </row>
    <row r="12" spans="1:46" s="201" customFormat="1" ht="12.75" customHeight="1">
      <c r="A12" s="522" t="s">
        <v>11</v>
      </c>
      <c r="B12" s="523"/>
      <c r="C12" s="523"/>
      <c r="D12" s="523"/>
      <c r="E12" s="523"/>
      <c r="F12" s="523"/>
      <c r="G12" s="523"/>
      <c r="H12" s="524"/>
      <c r="I12" s="14"/>
      <c r="J12" s="522" t="s">
        <v>11</v>
      </c>
      <c r="K12" s="523"/>
      <c r="L12" s="523"/>
      <c r="M12" s="523"/>
      <c r="N12" s="523"/>
      <c r="O12" s="523"/>
      <c r="P12" s="523"/>
      <c r="Q12" s="524"/>
      <c r="R12" s="522" t="s">
        <v>11</v>
      </c>
      <c r="S12" s="523"/>
      <c r="T12" s="523"/>
      <c r="U12" s="523"/>
      <c r="V12" s="523"/>
      <c r="W12" s="523"/>
      <c r="X12" s="523"/>
      <c r="Y12" s="524"/>
      <c r="Z12" s="14"/>
      <c r="AA12" s="522" t="s">
        <v>11</v>
      </c>
      <c r="AB12" s="523"/>
      <c r="AC12" s="523"/>
      <c r="AD12" s="523"/>
      <c r="AE12" s="523"/>
      <c r="AF12" s="523"/>
      <c r="AG12" s="523"/>
      <c r="AH12" s="524"/>
      <c r="AI12" s="14"/>
      <c r="AJ12" s="522" t="s">
        <v>11</v>
      </c>
      <c r="AK12" s="523"/>
      <c r="AL12" s="523"/>
      <c r="AM12" s="523"/>
      <c r="AN12" s="523"/>
      <c r="AO12" s="523"/>
      <c r="AP12" s="523"/>
      <c r="AQ12" s="524"/>
    </row>
    <row r="13" spans="1:46" s="201" customFormat="1">
      <c r="A13" s="231" t="s">
        <v>18</v>
      </c>
      <c r="B13" s="269">
        <f>+K13+S13+AK13</f>
        <v>15.2</v>
      </c>
      <c r="C13" s="430">
        <f t="shared" ref="C13:H13" si="13">+L13+T13+AL13</f>
        <v>1176</v>
      </c>
      <c r="D13" s="430">
        <f t="shared" si="13"/>
        <v>1015</v>
      </c>
      <c r="E13" s="430">
        <f t="shared" si="13"/>
        <v>484</v>
      </c>
      <c r="F13" s="430">
        <f t="shared" si="13"/>
        <v>154</v>
      </c>
      <c r="G13" s="430">
        <f t="shared" si="13"/>
        <v>34</v>
      </c>
      <c r="H13" s="430">
        <f t="shared" si="13"/>
        <v>315</v>
      </c>
      <c r="I13" s="14"/>
      <c r="J13" s="231" t="s">
        <v>18</v>
      </c>
      <c r="K13" s="274">
        <v>6</v>
      </c>
      <c r="L13" s="275">
        <v>300</v>
      </c>
      <c r="M13" s="275">
        <v>238</v>
      </c>
      <c r="N13" s="275">
        <v>24</v>
      </c>
      <c r="O13" s="275">
        <v>118</v>
      </c>
      <c r="P13" s="275">
        <v>20</v>
      </c>
      <c r="Q13" s="275">
        <v>55</v>
      </c>
      <c r="R13" s="231" t="s">
        <v>18</v>
      </c>
      <c r="S13" s="231">
        <v>9.1999999999999993</v>
      </c>
      <c r="T13" s="231">
        <v>876</v>
      </c>
      <c r="U13" s="231">
        <v>777</v>
      </c>
      <c r="V13" s="231">
        <v>460</v>
      </c>
      <c r="W13" s="231">
        <v>36</v>
      </c>
      <c r="X13" s="231">
        <v>14</v>
      </c>
      <c r="Y13" s="231">
        <v>260</v>
      </c>
      <c r="Z13" s="14"/>
      <c r="AA13" s="231" t="s">
        <v>18</v>
      </c>
      <c r="AB13" s="231">
        <v>9.1999999999999993</v>
      </c>
      <c r="AC13" s="231">
        <v>876</v>
      </c>
      <c r="AD13" s="231">
        <v>777</v>
      </c>
      <c r="AE13" s="231">
        <v>460</v>
      </c>
      <c r="AF13" s="231">
        <v>36</v>
      </c>
      <c r="AG13" s="231">
        <v>14</v>
      </c>
      <c r="AH13" s="231">
        <v>260</v>
      </c>
      <c r="AI13" s="14"/>
      <c r="AJ13" s="231" t="s">
        <v>18</v>
      </c>
      <c r="AK13" s="231"/>
      <c r="AL13" s="231"/>
      <c r="AM13" s="231"/>
      <c r="AN13" s="231"/>
      <c r="AO13" s="231"/>
      <c r="AP13" s="231"/>
      <c r="AQ13" s="231"/>
    </row>
    <row r="14" spans="1:46" s="201" customFormat="1">
      <c r="A14" s="18" t="s">
        <v>19</v>
      </c>
      <c r="B14" s="43">
        <f t="shared" ref="B14:H14" si="14">K14+S14+AK14</f>
        <v>10.9</v>
      </c>
      <c r="C14" s="43">
        <f t="shared" si="14"/>
        <v>780</v>
      </c>
      <c r="D14" s="43">
        <f t="shared" si="14"/>
        <v>701</v>
      </c>
      <c r="E14" s="43">
        <f t="shared" si="14"/>
        <v>235</v>
      </c>
      <c r="F14" s="43">
        <f t="shared" si="14"/>
        <v>98</v>
      </c>
      <c r="G14" s="43">
        <f t="shared" si="14"/>
        <v>6</v>
      </c>
      <c r="H14" s="43">
        <f t="shared" si="14"/>
        <v>362</v>
      </c>
      <c r="I14" s="14"/>
      <c r="J14" s="18" t="s">
        <v>19</v>
      </c>
      <c r="K14" s="384">
        <v>3.7</v>
      </c>
      <c r="L14" s="384">
        <v>233</v>
      </c>
      <c r="M14" s="384">
        <v>216</v>
      </c>
      <c r="N14" s="384">
        <v>44</v>
      </c>
      <c r="O14" s="384">
        <v>30</v>
      </c>
      <c r="P14" s="384"/>
      <c r="Q14" s="384">
        <v>142</v>
      </c>
      <c r="R14" s="18" t="s">
        <v>19</v>
      </c>
      <c r="S14" s="248">
        <v>7.2</v>
      </c>
      <c r="T14" s="248">
        <v>547</v>
      </c>
      <c r="U14" s="248">
        <v>485</v>
      </c>
      <c r="V14" s="248">
        <v>191</v>
      </c>
      <c r="W14" s="248">
        <v>68</v>
      </c>
      <c r="X14" s="248">
        <v>6</v>
      </c>
      <c r="Y14" s="248">
        <v>220</v>
      </c>
      <c r="Z14" s="14"/>
      <c r="AA14" s="18" t="s">
        <v>19</v>
      </c>
      <c r="AB14" s="8">
        <v>7.2</v>
      </c>
      <c r="AC14" s="9">
        <v>547</v>
      </c>
      <c r="AD14" s="9">
        <v>485</v>
      </c>
      <c r="AE14" s="9">
        <v>191</v>
      </c>
      <c r="AF14" s="9">
        <v>68</v>
      </c>
      <c r="AG14" s="9">
        <v>6</v>
      </c>
      <c r="AH14" s="9">
        <v>220</v>
      </c>
      <c r="AI14" s="14"/>
      <c r="AJ14" s="18" t="s">
        <v>19</v>
      </c>
      <c r="AK14" s="248"/>
      <c r="AL14" s="248"/>
      <c r="AM14" s="248"/>
      <c r="AN14" s="248"/>
      <c r="AO14" s="248"/>
      <c r="AP14" s="248"/>
      <c r="AQ14" s="248"/>
    </row>
    <row r="15" spans="1:46" s="201" customFormat="1">
      <c r="A15" s="248" t="s">
        <v>20</v>
      </c>
      <c r="B15" s="272">
        <f t="shared" ref="B15:H15" si="15">B14/B13*100</f>
        <v>71.71052631578948</v>
      </c>
      <c r="C15" s="272">
        <f t="shared" si="15"/>
        <v>66.326530612244895</v>
      </c>
      <c r="D15" s="272">
        <f t="shared" si="15"/>
        <v>69.064039408866989</v>
      </c>
      <c r="E15" s="272">
        <f t="shared" si="15"/>
        <v>48.553719008264466</v>
      </c>
      <c r="F15" s="272">
        <f t="shared" si="15"/>
        <v>63.636363636363633</v>
      </c>
      <c r="G15" s="272">
        <f t="shared" si="15"/>
        <v>17.647058823529413</v>
      </c>
      <c r="H15" s="272">
        <f t="shared" si="15"/>
        <v>114.92063492063491</v>
      </c>
      <c r="I15" s="14"/>
      <c r="J15" s="248" t="s">
        <v>20</v>
      </c>
      <c r="K15" s="436">
        <f t="shared" ref="K15:Q15" si="16">K14/K13*100</f>
        <v>61.666666666666671</v>
      </c>
      <c r="L15" s="436">
        <f t="shared" si="16"/>
        <v>77.666666666666657</v>
      </c>
      <c r="M15" s="436">
        <f t="shared" si="16"/>
        <v>90.756302521008408</v>
      </c>
      <c r="N15" s="436">
        <f t="shared" si="16"/>
        <v>183.33333333333331</v>
      </c>
      <c r="O15" s="436">
        <f t="shared" si="16"/>
        <v>25.423728813559322</v>
      </c>
      <c r="P15" s="436">
        <f t="shared" si="16"/>
        <v>0</v>
      </c>
      <c r="Q15" s="436">
        <f t="shared" si="16"/>
        <v>258.18181818181819</v>
      </c>
      <c r="R15" s="43" t="s">
        <v>20</v>
      </c>
      <c r="S15" s="272">
        <f t="shared" ref="S15:Y15" si="17">S14/S13*100</f>
        <v>78.260869565217391</v>
      </c>
      <c r="T15" s="272">
        <f t="shared" si="17"/>
        <v>62.442922374429223</v>
      </c>
      <c r="U15" s="272">
        <f t="shared" si="17"/>
        <v>62.419562419562425</v>
      </c>
      <c r="V15" s="272">
        <f t="shared" si="17"/>
        <v>41.521739130434781</v>
      </c>
      <c r="W15" s="272">
        <f t="shared" si="17"/>
        <v>188.88888888888889</v>
      </c>
      <c r="X15" s="272">
        <f t="shared" si="17"/>
        <v>42.857142857142854</v>
      </c>
      <c r="Y15" s="272">
        <f t="shared" si="17"/>
        <v>84.615384615384613</v>
      </c>
      <c r="Z15" s="13"/>
      <c r="AA15" s="43" t="s">
        <v>20</v>
      </c>
      <c r="AB15" s="272">
        <f t="shared" ref="AB15:AH15" si="18">AB14/AB13*100</f>
        <v>78.260869565217391</v>
      </c>
      <c r="AC15" s="272">
        <f t="shared" si="18"/>
        <v>62.442922374429223</v>
      </c>
      <c r="AD15" s="272">
        <f t="shared" si="18"/>
        <v>62.419562419562425</v>
      </c>
      <c r="AE15" s="272">
        <f t="shared" si="18"/>
        <v>41.521739130434781</v>
      </c>
      <c r="AF15" s="272">
        <f t="shared" si="18"/>
        <v>188.88888888888889</v>
      </c>
      <c r="AG15" s="272">
        <f t="shared" si="18"/>
        <v>42.857142857142854</v>
      </c>
      <c r="AH15" s="272">
        <f t="shared" si="18"/>
        <v>84.615384615384613</v>
      </c>
      <c r="AI15" s="14"/>
      <c r="AJ15" s="43" t="s">
        <v>20</v>
      </c>
      <c r="AK15" s="272" t="e">
        <f t="shared" ref="AK15:AQ15" si="19">AK14/AK13*100</f>
        <v>#DIV/0!</v>
      </c>
      <c r="AL15" s="272" t="e">
        <f t="shared" si="19"/>
        <v>#DIV/0!</v>
      </c>
      <c r="AM15" s="272" t="e">
        <f t="shared" si="19"/>
        <v>#DIV/0!</v>
      </c>
      <c r="AN15" s="272" t="e">
        <f t="shared" si="19"/>
        <v>#DIV/0!</v>
      </c>
      <c r="AO15" s="272" t="e">
        <f t="shared" si="19"/>
        <v>#DIV/0!</v>
      </c>
      <c r="AP15" s="272" t="e">
        <f t="shared" si="19"/>
        <v>#DIV/0!</v>
      </c>
      <c r="AQ15" s="272" t="e">
        <f t="shared" si="19"/>
        <v>#DIV/0!</v>
      </c>
    </row>
    <row r="16" spans="1:46" s="201" customFormat="1">
      <c r="A16" s="248" t="s">
        <v>13</v>
      </c>
      <c r="B16" s="384">
        <f t="shared" ref="B16:H17" si="20">SUM(+K16+S16++AK16)</f>
        <v>0</v>
      </c>
      <c r="C16" s="384">
        <f t="shared" si="20"/>
        <v>0</v>
      </c>
      <c r="D16" s="384">
        <f t="shared" si="20"/>
        <v>0</v>
      </c>
      <c r="E16" s="384">
        <f t="shared" si="20"/>
        <v>0</v>
      </c>
      <c r="F16" s="384">
        <f t="shared" si="20"/>
        <v>0</v>
      </c>
      <c r="G16" s="384">
        <f t="shared" si="20"/>
        <v>0</v>
      </c>
      <c r="H16" s="384">
        <f t="shared" si="20"/>
        <v>0</v>
      </c>
      <c r="I16" s="14"/>
      <c r="J16" s="248" t="s">
        <v>13</v>
      </c>
      <c r="K16" s="384"/>
      <c r="L16" s="384"/>
      <c r="M16" s="384"/>
      <c r="N16" s="384"/>
      <c r="O16" s="384"/>
      <c r="P16" s="384"/>
      <c r="Q16" s="384"/>
      <c r="R16" s="248" t="s">
        <v>13</v>
      </c>
      <c r="S16" s="248"/>
      <c r="T16" s="248"/>
      <c r="U16" s="248"/>
      <c r="V16" s="248"/>
      <c r="W16" s="248"/>
      <c r="X16" s="248"/>
      <c r="Y16" s="248"/>
      <c r="Z16" s="14"/>
      <c r="AA16" s="248" t="s">
        <v>13</v>
      </c>
      <c r="AB16" s="248"/>
      <c r="AC16" s="248"/>
      <c r="AD16" s="248"/>
      <c r="AE16" s="248"/>
      <c r="AF16" s="248"/>
      <c r="AG16" s="248"/>
      <c r="AH16" s="248"/>
      <c r="AI16" s="14"/>
      <c r="AJ16" s="248" t="s">
        <v>13</v>
      </c>
      <c r="AK16" s="248"/>
      <c r="AL16" s="248"/>
      <c r="AM16" s="248"/>
      <c r="AN16" s="248"/>
      <c r="AO16" s="248"/>
      <c r="AP16" s="248"/>
      <c r="AQ16" s="248"/>
    </row>
    <row r="17" spans="1:47" s="201" customFormat="1">
      <c r="A17" s="248" t="s">
        <v>14</v>
      </c>
      <c r="B17" s="248">
        <f t="shared" si="20"/>
        <v>0</v>
      </c>
      <c r="C17" s="248">
        <f t="shared" si="20"/>
        <v>0</v>
      </c>
      <c r="D17" s="248">
        <f t="shared" si="20"/>
        <v>0</v>
      </c>
      <c r="E17" s="248">
        <f t="shared" si="20"/>
        <v>0</v>
      </c>
      <c r="F17" s="248">
        <f t="shared" si="20"/>
        <v>0</v>
      </c>
      <c r="G17" s="248">
        <f t="shared" si="20"/>
        <v>0</v>
      </c>
      <c r="H17" s="248">
        <f t="shared" si="20"/>
        <v>0</v>
      </c>
      <c r="I17" s="14"/>
      <c r="J17" s="248" t="s">
        <v>14</v>
      </c>
      <c r="K17" s="384"/>
      <c r="L17" s="384"/>
      <c r="M17" s="384"/>
      <c r="N17" s="384"/>
      <c r="O17" s="384"/>
      <c r="P17" s="384"/>
      <c r="Q17" s="384"/>
      <c r="R17" s="248" t="s">
        <v>14</v>
      </c>
      <c r="S17" s="248"/>
      <c r="T17" s="248"/>
      <c r="U17" s="248"/>
      <c r="V17" s="248"/>
      <c r="W17" s="248"/>
      <c r="X17" s="248"/>
      <c r="Y17" s="248"/>
      <c r="Z17" s="14"/>
      <c r="AA17" s="248" t="s">
        <v>14</v>
      </c>
      <c r="AB17" s="248"/>
      <c r="AC17" s="248"/>
      <c r="AD17" s="248"/>
      <c r="AE17" s="248"/>
      <c r="AF17" s="248"/>
      <c r="AG17" s="248"/>
      <c r="AH17" s="248"/>
      <c r="AI17" s="14"/>
      <c r="AJ17" s="248" t="s">
        <v>14</v>
      </c>
      <c r="AK17" s="248"/>
      <c r="AL17" s="248"/>
      <c r="AM17" s="248"/>
      <c r="AN17" s="248"/>
      <c r="AO17" s="248"/>
      <c r="AP17" s="248"/>
      <c r="AQ17" s="248"/>
    </row>
    <row r="18" spans="1:47">
      <c r="A18" s="248" t="s">
        <v>15</v>
      </c>
      <c r="B18" s="248"/>
      <c r="C18" s="248"/>
      <c r="D18" s="248"/>
      <c r="E18" s="248"/>
      <c r="F18" s="248"/>
      <c r="G18" s="248"/>
      <c r="H18" s="248"/>
      <c r="I18" s="273"/>
      <c r="J18" s="248" t="s">
        <v>15</v>
      </c>
      <c r="K18" s="384"/>
      <c r="L18" s="384"/>
      <c r="M18" s="384"/>
      <c r="N18" s="384"/>
      <c r="O18" s="384"/>
      <c r="P18" s="384"/>
      <c r="Q18" s="384"/>
      <c r="R18" s="248" t="s">
        <v>15</v>
      </c>
      <c r="S18" s="248"/>
      <c r="T18" s="248"/>
      <c r="U18" s="248"/>
      <c r="V18" s="248"/>
      <c r="W18" s="248"/>
      <c r="X18" s="248"/>
      <c r="Y18" s="248"/>
      <c r="Z18" s="273"/>
      <c r="AA18" s="248" t="s">
        <v>15</v>
      </c>
      <c r="AB18" s="248"/>
      <c r="AC18" s="248"/>
      <c r="AD18" s="248"/>
      <c r="AE18" s="248"/>
      <c r="AF18" s="248"/>
      <c r="AG18" s="248"/>
      <c r="AH18" s="248"/>
      <c r="AI18" s="273"/>
      <c r="AJ18" s="248" t="s">
        <v>15</v>
      </c>
      <c r="AK18" s="248"/>
      <c r="AL18" s="248"/>
      <c r="AM18" s="248"/>
      <c r="AN18" s="248"/>
      <c r="AO18" s="248"/>
      <c r="AP18" s="248"/>
      <c r="AQ18" s="248"/>
    </row>
    <row r="19" spans="1:47" ht="12.75" customHeight="1">
      <c r="A19" s="522" t="s">
        <v>16</v>
      </c>
      <c r="B19" s="523"/>
      <c r="C19" s="523"/>
      <c r="D19" s="523"/>
      <c r="E19" s="523"/>
      <c r="F19" s="523"/>
      <c r="G19" s="523"/>
      <c r="H19" s="524"/>
      <c r="I19" s="273"/>
      <c r="J19" s="522" t="s">
        <v>16</v>
      </c>
      <c r="K19" s="523"/>
      <c r="L19" s="523"/>
      <c r="M19" s="523"/>
      <c r="N19" s="523"/>
      <c r="O19" s="523"/>
      <c r="P19" s="523"/>
      <c r="Q19" s="524"/>
      <c r="R19" s="522" t="s">
        <v>16</v>
      </c>
      <c r="S19" s="523"/>
      <c r="T19" s="523"/>
      <c r="U19" s="523"/>
      <c r="V19" s="523"/>
      <c r="W19" s="523"/>
      <c r="X19" s="523"/>
      <c r="Y19" s="524"/>
      <c r="Z19" s="273"/>
      <c r="AA19" s="522" t="s">
        <v>16</v>
      </c>
      <c r="AB19" s="523"/>
      <c r="AC19" s="523"/>
      <c r="AD19" s="523"/>
      <c r="AE19" s="523"/>
      <c r="AF19" s="523"/>
      <c r="AG19" s="523"/>
      <c r="AH19" s="524"/>
      <c r="AI19" s="273"/>
      <c r="AJ19" s="522" t="s">
        <v>16</v>
      </c>
      <c r="AK19" s="523"/>
      <c r="AL19" s="523"/>
      <c r="AM19" s="523"/>
      <c r="AN19" s="523"/>
      <c r="AO19" s="523"/>
      <c r="AP19" s="523"/>
      <c r="AQ19" s="524"/>
    </row>
    <row r="20" spans="1:47">
      <c r="A20" s="231" t="s">
        <v>18</v>
      </c>
      <c r="B20" s="269">
        <f>+K20+S20+AK20</f>
        <v>807.49999999999989</v>
      </c>
      <c r="C20" s="430">
        <f t="shared" ref="C20:H20" si="21">+L20+T20+AL20</f>
        <v>40392</v>
      </c>
      <c r="D20" s="430">
        <f t="shared" si="21"/>
        <v>36451</v>
      </c>
      <c r="E20" s="430">
        <f t="shared" si="21"/>
        <v>2276</v>
      </c>
      <c r="F20" s="430">
        <f t="shared" si="21"/>
        <v>8214</v>
      </c>
      <c r="G20" s="430">
        <f t="shared" si="21"/>
        <v>1450</v>
      </c>
      <c r="H20" s="430">
        <f t="shared" si="21"/>
        <v>23853</v>
      </c>
      <c r="I20" s="273"/>
      <c r="J20" s="231" t="s">
        <v>18</v>
      </c>
      <c r="K20" s="274">
        <f>+K38+K35+K32+K29+K26+K23</f>
        <v>353.19999999999993</v>
      </c>
      <c r="L20" s="231">
        <f t="shared" ref="L20:Q20" si="22">+L38+L35+L32+L29+L26+L23</f>
        <v>11380</v>
      </c>
      <c r="M20" s="231">
        <f t="shared" si="22"/>
        <v>9957</v>
      </c>
      <c r="N20" s="231">
        <f t="shared" si="22"/>
        <v>454</v>
      </c>
      <c r="O20" s="231">
        <f t="shared" si="22"/>
        <v>2475</v>
      </c>
      <c r="P20" s="231">
        <f t="shared" si="22"/>
        <v>415</v>
      </c>
      <c r="Q20" s="231">
        <f t="shared" si="22"/>
        <v>6410</v>
      </c>
      <c r="R20" s="231" t="s">
        <v>18</v>
      </c>
      <c r="S20" s="274">
        <f>+S38+S35+S32+S29+S26+S23</f>
        <v>448.7</v>
      </c>
      <c r="T20" s="275">
        <f t="shared" ref="T20:Y20" si="23">+T38+T35+T32+T29+T26+T23</f>
        <v>28709</v>
      </c>
      <c r="U20" s="275">
        <f>+U38+U35+U32+U29+U26+U23</f>
        <v>26227</v>
      </c>
      <c r="V20" s="275">
        <f t="shared" si="23"/>
        <v>1820</v>
      </c>
      <c r="W20" s="275">
        <f t="shared" si="23"/>
        <v>5679</v>
      </c>
      <c r="X20" s="275">
        <f t="shared" si="23"/>
        <v>1007</v>
      </c>
      <c r="Y20" s="275">
        <f t="shared" si="23"/>
        <v>17273</v>
      </c>
      <c r="Z20" s="273"/>
      <c r="AA20" s="231" t="s">
        <v>18</v>
      </c>
      <c r="AB20" s="274">
        <f>+AB38+AB35+AB32+AB29+AB26+AB23</f>
        <v>71.7</v>
      </c>
      <c r="AC20" s="275">
        <f t="shared" ref="AC20:AH20" si="24">+AC38+AC35+AC32+AC29+AC26+AC23</f>
        <v>4886</v>
      </c>
      <c r="AD20" s="275">
        <f t="shared" si="24"/>
        <v>4391</v>
      </c>
      <c r="AE20" s="275">
        <f t="shared" si="24"/>
        <v>1310</v>
      </c>
      <c r="AF20" s="275">
        <f t="shared" si="24"/>
        <v>678</v>
      </c>
      <c r="AG20" s="275">
        <f t="shared" si="24"/>
        <v>91</v>
      </c>
      <c r="AH20" s="275">
        <f t="shared" si="24"/>
        <v>2244</v>
      </c>
      <c r="AI20" s="273"/>
      <c r="AJ20" s="231" t="s">
        <v>18</v>
      </c>
      <c r="AK20" s="274">
        <f>+AK38+AK35+AK32+AK29+AK26+AK23</f>
        <v>5.6</v>
      </c>
      <c r="AL20" s="275">
        <f t="shared" ref="AL20:AQ20" si="25">+AL38+AL35+AL32+AL29+AL26+AL23</f>
        <v>303</v>
      </c>
      <c r="AM20" s="275">
        <f t="shared" si="25"/>
        <v>267</v>
      </c>
      <c r="AN20" s="275">
        <f t="shared" si="25"/>
        <v>2</v>
      </c>
      <c r="AO20" s="275">
        <f t="shared" si="25"/>
        <v>60</v>
      </c>
      <c r="AP20" s="275">
        <f t="shared" si="25"/>
        <v>28</v>
      </c>
      <c r="AQ20" s="275">
        <f t="shared" si="25"/>
        <v>170</v>
      </c>
    </row>
    <row r="21" spans="1:47" s="201" customFormat="1">
      <c r="A21" s="18" t="s">
        <v>19</v>
      </c>
      <c r="B21" s="22">
        <f>+B39+B36+B33+B30+B27</f>
        <v>835</v>
      </c>
      <c r="C21" s="23">
        <f t="shared" ref="C21:H21" si="26">+C39+C36+C33+C30+C27</f>
        <v>42697</v>
      </c>
      <c r="D21" s="23">
        <f t="shared" si="26"/>
        <v>40476</v>
      </c>
      <c r="E21" s="23">
        <f t="shared" si="26"/>
        <v>5225</v>
      </c>
      <c r="F21" s="23">
        <f t="shared" si="26"/>
        <v>5914</v>
      </c>
      <c r="G21" s="23">
        <f t="shared" si="26"/>
        <v>987</v>
      </c>
      <c r="H21" s="23">
        <f t="shared" si="26"/>
        <v>28350</v>
      </c>
      <c r="I21" s="14"/>
      <c r="J21" s="18" t="s">
        <v>19</v>
      </c>
      <c r="K21" s="8">
        <f>SUM(+K39+K36+K33+K30+K27)</f>
        <v>379.2</v>
      </c>
      <c r="L21" s="9">
        <f t="shared" ref="L21:P21" si="27">SUM(+L39+L36+L33+L30+L27)</f>
        <v>15300</v>
      </c>
      <c r="M21" s="9">
        <f t="shared" si="27"/>
        <v>14754</v>
      </c>
      <c r="N21" s="9">
        <f t="shared" si="27"/>
        <v>1233</v>
      </c>
      <c r="O21" s="9">
        <f t="shared" si="27"/>
        <v>2191</v>
      </c>
      <c r="P21" s="9">
        <f t="shared" si="27"/>
        <v>269</v>
      </c>
      <c r="Q21" s="9">
        <f>SUM(+Q39+Q36+Q33+Q30+Q27)</f>
        <v>11061</v>
      </c>
      <c r="R21" s="18" t="s">
        <v>19</v>
      </c>
      <c r="S21" s="8">
        <f>+S39+S36+S30+S27</f>
        <v>450.3</v>
      </c>
      <c r="T21" s="9">
        <f t="shared" ref="T21:Y21" si="28">+T39+T36+T30+T27</f>
        <v>27033</v>
      </c>
      <c r="U21" s="9">
        <f t="shared" si="28"/>
        <v>25372</v>
      </c>
      <c r="V21" s="9">
        <f t="shared" si="28"/>
        <v>3946</v>
      </c>
      <c r="W21" s="9">
        <f t="shared" si="28"/>
        <v>3701</v>
      </c>
      <c r="X21" s="9">
        <f t="shared" si="28"/>
        <v>715</v>
      </c>
      <c r="Y21" s="9">
        <f t="shared" si="28"/>
        <v>17010</v>
      </c>
      <c r="Z21" s="14"/>
      <c r="AA21" s="18" t="s">
        <v>19</v>
      </c>
      <c r="AB21" s="248">
        <f>+AB39+AB36+AB33+AB30+AB27</f>
        <v>89.399999999999991</v>
      </c>
      <c r="AC21" s="248">
        <f t="shared" ref="AC21:AH21" si="29">+AC39+AC36+AC33+AC30+AC27</f>
        <v>5897</v>
      </c>
      <c r="AD21" s="248">
        <f t="shared" si="29"/>
        <v>5377</v>
      </c>
      <c r="AE21" s="248">
        <f t="shared" si="29"/>
        <v>1980</v>
      </c>
      <c r="AF21" s="248">
        <f t="shared" si="29"/>
        <v>832</v>
      </c>
      <c r="AG21" s="248">
        <f t="shared" si="29"/>
        <v>79</v>
      </c>
      <c r="AH21" s="248">
        <f t="shared" si="29"/>
        <v>2486</v>
      </c>
      <c r="AI21" s="14"/>
      <c r="AJ21" s="18" t="s">
        <v>19</v>
      </c>
      <c r="AK21" s="8">
        <f>AK24+AK27+AK30+AK33+AK36+AK39</f>
        <v>5.5</v>
      </c>
      <c r="AL21" s="248">
        <f t="shared" ref="AL21:AQ21" si="30">AL24+AL27+AL30+AL33+AL36+AL39</f>
        <v>364</v>
      </c>
      <c r="AM21" s="248">
        <f t="shared" si="30"/>
        <v>350</v>
      </c>
      <c r="AN21" s="248">
        <f t="shared" si="30"/>
        <v>46</v>
      </c>
      <c r="AO21" s="248">
        <f t="shared" si="30"/>
        <v>22</v>
      </c>
      <c r="AP21" s="248">
        <f t="shared" si="30"/>
        <v>3</v>
      </c>
      <c r="AQ21" s="248">
        <f t="shared" si="30"/>
        <v>279</v>
      </c>
    </row>
    <row r="22" spans="1:47">
      <c r="A22" s="248" t="s">
        <v>20</v>
      </c>
      <c r="B22" s="272">
        <f t="shared" ref="B22:H22" si="31">B21/B20*100</f>
        <v>103.40557275541798</v>
      </c>
      <c r="C22" s="272">
        <f t="shared" si="31"/>
        <v>105.70657555951675</v>
      </c>
      <c r="D22" s="272">
        <f t="shared" si="31"/>
        <v>111.04222106389399</v>
      </c>
      <c r="E22" s="272">
        <f t="shared" si="31"/>
        <v>229.56942003514936</v>
      </c>
      <c r="F22" s="272">
        <f t="shared" si="31"/>
        <v>71.999026053080101</v>
      </c>
      <c r="G22" s="272">
        <f t="shared" si="31"/>
        <v>68.068965517241381</v>
      </c>
      <c r="H22" s="272">
        <f t="shared" si="31"/>
        <v>118.8529744686203</v>
      </c>
      <c r="I22" s="273"/>
      <c r="J22" s="248" t="s">
        <v>20</v>
      </c>
      <c r="K22" s="272">
        <f t="shared" ref="K22:Q22" si="32">K21/K20*100</f>
        <v>107.36126840317101</v>
      </c>
      <c r="L22" s="272">
        <f t="shared" si="32"/>
        <v>134.44639718804922</v>
      </c>
      <c r="M22" s="272">
        <f t="shared" si="32"/>
        <v>148.17716179572159</v>
      </c>
      <c r="N22" s="272">
        <f t="shared" si="32"/>
        <v>271.58590308370043</v>
      </c>
      <c r="O22" s="272">
        <f t="shared" si="32"/>
        <v>88.525252525252526</v>
      </c>
      <c r="P22" s="272">
        <f t="shared" si="32"/>
        <v>64.819277108433738</v>
      </c>
      <c r="Q22" s="272">
        <f t="shared" si="32"/>
        <v>172.55850234009361</v>
      </c>
      <c r="R22" s="248" t="s">
        <v>20</v>
      </c>
      <c r="S22" s="272">
        <f t="shared" ref="S22:Y22" si="33">S21/S20*100</f>
        <v>100.35658569199913</v>
      </c>
      <c r="T22" s="272">
        <f t="shared" si="33"/>
        <v>94.16210944303181</v>
      </c>
      <c r="U22" s="272">
        <f t="shared" si="33"/>
        <v>96.740000762572919</v>
      </c>
      <c r="V22" s="272">
        <f t="shared" si="33"/>
        <v>216.8131868131868</v>
      </c>
      <c r="W22" s="272">
        <f t="shared" si="33"/>
        <v>65.169924282444086</v>
      </c>
      <c r="X22" s="272">
        <f t="shared" si="33"/>
        <v>71.002979145978145</v>
      </c>
      <c r="Y22" s="272">
        <f t="shared" si="33"/>
        <v>98.477392462224273</v>
      </c>
      <c r="Z22" s="273"/>
      <c r="AA22" s="248" t="s">
        <v>20</v>
      </c>
      <c r="AB22" s="272">
        <f t="shared" ref="AB22:AH22" si="34">AB21/AB20*100</f>
        <v>124.68619246861923</v>
      </c>
      <c r="AC22" s="272">
        <f t="shared" si="34"/>
        <v>120.69177241097012</v>
      </c>
      <c r="AD22" s="272">
        <f t="shared" si="34"/>
        <v>122.45502163516284</v>
      </c>
      <c r="AE22" s="272">
        <f t="shared" si="34"/>
        <v>151.14503816793894</v>
      </c>
      <c r="AF22" s="272">
        <f t="shared" si="34"/>
        <v>122.71386430678466</v>
      </c>
      <c r="AG22" s="272">
        <f t="shared" si="34"/>
        <v>86.813186813186817</v>
      </c>
      <c r="AH22" s="272">
        <f t="shared" si="34"/>
        <v>110.78431372549021</v>
      </c>
      <c r="AI22" s="273"/>
      <c r="AJ22" s="248" t="s">
        <v>20</v>
      </c>
      <c r="AK22" s="272">
        <f t="shared" ref="AK22:AQ22" si="35">AK21/AK20*100</f>
        <v>98.214285714285722</v>
      </c>
      <c r="AL22" s="272">
        <f t="shared" si="35"/>
        <v>120.13201320132015</v>
      </c>
      <c r="AM22" s="272">
        <f t="shared" si="35"/>
        <v>131.08614232209737</v>
      </c>
      <c r="AN22" s="272">
        <f t="shared" si="35"/>
        <v>2300</v>
      </c>
      <c r="AO22" s="272">
        <f t="shared" si="35"/>
        <v>36.666666666666664</v>
      </c>
      <c r="AP22" s="272">
        <f t="shared" si="35"/>
        <v>10.714285714285714</v>
      </c>
      <c r="AQ22" s="272">
        <f t="shared" si="35"/>
        <v>164.11764705882354</v>
      </c>
    </row>
    <row r="23" spans="1:47">
      <c r="A23" s="231" t="s">
        <v>21</v>
      </c>
      <c r="B23" s="268">
        <f t="shared" ref="B23:H23" si="36">K23+S23+AK23</f>
        <v>0</v>
      </c>
      <c r="C23" s="268">
        <f t="shared" si="36"/>
        <v>0</v>
      </c>
      <c r="D23" s="268">
        <f t="shared" si="36"/>
        <v>0</v>
      </c>
      <c r="E23" s="268">
        <f t="shared" si="36"/>
        <v>0</v>
      </c>
      <c r="F23" s="268">
        <f t="shared" si="36"/>
        <v>0</v>
      </c>
      <c r="G23" s="268">
        <f t="shared" si="36"/>
        <v>0</v>
      </c>
      <c r="H23" s="268">
        <f t="shared" si="36"/>
        <v>0</v>
      </c>
      <c r="I23" s="273"/>
      <c r="J23" s="231" t="s">
        <v>21</v>
      </c>
      <c r="K23" s="231">
        <f>S23+AK23</f>
        <v>0</v>
      </c>
      <c r="L23" s="231">
        <f t="shared" ref="L23:Q23" si="37">T23+AL23</f>
        <v>0</v>
      </c>
      <c r="M23" s="231">
        <f t="shared" si="37"/>
        <v>0</v>
      </c>
      <c r="N23" s="231">
        <f t="shared" si="37"/>
        <v>0</v>
      </c>
      <c r="O23" s="231">
        <f t="shared" si="37"/>
        <v>0</v>
      </c>
      <c r="P23" s="231">
        <f t="shared" si="37"/>
        <v>0</v>
      </c>
      <c r="Q23" s="231">
        <f t="shared" si="37"/>
        <v>0</v>
      </c>
      <c r="R23" s="231" t="s">
        <v>21</v>
      </c>
      <c r="S23" s="231">
        <v>0</v>
      </c>
      <c r="T23" s="231">
        <v>0</v>
      </c>
      <c r="U23" s="231">
        <f>V23+W23+X23+Y23</f>
        <v>0</v>
      </c>
      <c r="V23" s="231">
        <v>0</v>
      </c>
      <c r="W23" s="231">
        <v>0</v>
      </c>
      <c r="X23" s="231">
        <v>0</v>
      </c>
      <c r="Y23" s="231">
        <v>0</v>
      </c>
      <c r="Z23" s="273"/>
      <c r="AA23" s="231" t="s">
        <v>21</v>
      </c>
      <c r="AB23" s="231">
        <v>0</v>
      </c>
      <c r="AC23" s="231">
        <v>0</v>
      </c>
      <c r="AD23" s="231">
        <v>0</v>
      </c>
      <c r="AE23" s="231">
        <v>0</v>
      </c>
      <c r="AF23" s="231">
        <v>0</v>
      </c>
      <c r="AG23" s="231">
        <v>0</v>
      </c>
      <c r="AH23" s="231">
        <v>0</v>
      </c>
      <c r="AI23" s="273"/>
      <c r="AJ23" s="231" t="s">
        <v>21</v>
      </c>
      <c r="AK23" s="231"/>
      <c r="AL23" s="231"/>
      <c r="AM23" s="231">
        <f>AN23+AO23+AP23+AQ23</f>
        <v>0</v>
      </c>
      <c r="AN23" s="231"/>
      <c r="AO23" s="231"/>
      <c r="AP23" s="231"/>
      <c r="AQ23" s="231"/>
    </row>
    <row r="24" spans="1:47">
      <c r="A24" s="248" t="s">
        <v>22</v>
      </c>
      <c r="B24" s="43"/>
      <c r="C24" s="43"/>
      <c r="D24" s="43"/>
      <c r="E24" s="43"/>
      <c r="F24" s="43"/>
      <c r="G24" s="43"/>
      <c r="H24" s="43"/>
      <c r="I24" s="273"/>
      <c r="J24" s="248" t="s">
        <v>22</v>
      </c>
      <c r="K24" s="248"/>
      <c r="L24" s="248"/>
      <c r="M24" s="248"/>
      <c r="N24" s="248"/>
      <c r="O24" s="248"/>
      <c r="P24" s="248"/>
      <c r="Q24" s="248"/>
      <c r="R24" s="248" t="s">
        <v>22</v>
      </c>
      <c r="S24" s="248"/>
      <c r="T24" s="248"/>
      <c r="U24" s="248"/>
      <c r="V24" s="248"/>
      <c r="W24" s="248"/>
      <c r="X24" s="248"/>
      <c r="Y24" s="248"/>
      <c r="Z24" s="273"/>
      <c r="AA24" s="248" t="s">
        <v>22</v>
      </c>
      <c r="AB24" s="248"/>
      <c r="AC24" s="248"/>
      <c r="AD24" s="248"/>
      <c r="AE24" s="248"/>
      <c r="AF24" s="248"/>
      <c r="AG24" s="248"/>
      <c r="AH24" s="248"/>
      <c r="AI24" s="273"/>
      <c r="AJ24" s="248" t="s">
        <v>22</v>
      </c>
      <c r="AK24" s="248"/>
      <c r="AL24" s="248"/>
      <c r="AM24" s="248"/>
      <c r="AN24" s="248"/>
      <c r="AO24" s="248"/>
      <c r="AP24" s="248"/>
      <c r="AQ24" s="248"/>
    </row>
    <row r="25" spans="1:47">
      <c r="A25" s="248" t="s">
        <v>12</v>
      </c>
      <c r="B25" s="23" t="e">
        <f t="shared" ref="B25:H25" si="38">B24/B23*100</f>
        <v>#DIV/0!</v>
      </c>
      <c r="C25" s="272" t="e">
        <f t="shared" si="38"/>
        <v>#DIV/0!</v>
      </c>
      <c r="D25" s="272" t="e">
        <f t="shared" si="38"/>
        <v>#DIV/0!</v>
      </c>
      <c r="E25" s="272" t="e">
        <f t="shared" si="38"/>
        <v>#DIV/0!</v>
      </c>
      <c r="F25" s="272" t="e">
        <f t="shared" si="38"/>
        <v>#DIV/0!</v>
      </c>
      <c r="G25" s="272" t="e">
        <f t="shared" si="38"/>
        <v>#DIV/0!</v>
      </c>
      <c r="H25" s="272" t="e">
        <f t="shared" si="38"/>
        <v>#DIV/0!</v>
      </c>
      <c r="I25" s="273"/>
      <c r="J25" s="248" t="s">
        <v>12</v>
      </c>
      <c r="K25" s="272" t="e">
        <f>K24/K23*100</f>
        <v>#DIV/0!</v>
      </c>
      <c r="L25" s="272" t="e">
        <f t="shared" ref="L25:Q25" si="39">L24/L23*100</f>
        <v>#DIV/0!</v>
      </c>
      <c r="M25" s="272" t="e">
        <f t="shared" si="39"/>
        <v>#DIV/0!</v>
      </c>
      <c r="N25" s="272" t="e">
        <f t="shared" si="39"/>
        <v>#DIV/0!</v>
      </c>
      <c r="O25" s="272" t="e">
        <f t="shared" si="39"/>
        <v>#DIV/0!</v>
      </c>
      <c r="P25" s="272" t="e">
        <f t="shared" si="39"/>
        <v>#DIV/0!</v>
      </c>
      <c r="Q25" s="272" t="e">
        <f t="shared" si="39"/>
        <v>#DIV/0!</v>
      </c>
      <c r="R25" s="248" t="s">
        <v>12</v>
      </c>
      <c r="S25" s="9"/>
      <c r="T25" s="9"/>
      <c r="U25" s="9"/>
      <c r="V25" s="9"/>
      <c r="W25" s="9"/>
      <c r="X25" s="9"/>
      <c r="Y25" s="9"/>
      <c r="Z25" s="273"/>
      <c r="AA25" s="248" t="s">
        <v>12</v>
      </c>
      <c r="AB25" s="272" t="e">
        <f t="shared" ref="AB25:AH25" si="40">AB24/AB23*100</f>
        <v>#DIV/0!</v>
      </c>
      <c r="AC25" s="272" t="e">
        <f t="shared" si="40"/>
        <v>#DIV/0!</v>
      </c>
      <c r="AD25" s="272" t="e">
        <f t="shared" si="40"/>
        <v>#DIV/0!</v>
      </c>
      <c r="AE25" s="272" t="e">
        <f t="shared" si="40"/>
        <v>#DIV/0!</v>
      </c>
      <c r="AF25" s="272" t="e">
        <f t="shared" si="40"/>
        <v>#DIV/0!</v>
      </c>
      <c r="AG25" s="272" t="e">
        <f t="shared" si="40"/>
        <v>#DIV/0!</v>
      </c>
      <c r="AH25" s="272" t="e">
        <f t="shared" si="40"/>
        <v>#DIV/0!</v>
      </c>
      <c r="AI25" s="273"/>
      <c r="AJ25" s="248" t="s">
        <v>12</v>
      </c>
      <c r="AK25" s="272" t="e">
        <f t="shared" ref="AK25:AQ25" si="41">AK24/AK23*100</f>
        <v>#DIV/0!</v>
      </c>
      <c r="AL25" s="272" t="e">
        <f t="shared" si="41"/>
        <v>#DIV/0!</v>
      </c>
      <c r="AM25" s="272" t="e">
        <f t="shared" si="41"/>
        <v>#DIV/0!</v>
      </c>
      <c r="AN25" s="272" t="e">
        <f t="shared" si="41"/>
        <v>#DIV/0!</v>
      </c>
      <c r="AO25" s="272" t="e">
        <f t="shared" si="41"/>
        <v>#DIV/0!</v>
      </c>
      <c r="AP25" s="272" t="e">
        <f t="shared" si="41"/>
        <v>#DIV/0!</v>
      </c>
      <c r="AQ25" s="272" t="e">
        <f t="shared" si="41"/>
        <v>#DIV/0!</v>
      </c>
    </row>
    <row r="26" spans="1:47">
      <c r="A26" s="231" t="s">
        <v>23</v>
      </c>
      <c r="B26" s="268">
        <f>K26+S26+AK26</f>
        <v>62.099999999999994</v>
      </c>
      <c r="C26" s="268">
        <f t="shared" ref="B26:H27" si="42">L26+T26+AL26</f>
        <v>2496</v>
      </c>
      <c r="D26" s="268">
        <f>+M26+U26+AM26</f>
        <v>2232</v>
      </c>
      <c r="E26" s="268">
        <f t="shared" si="42"/>
        <v>62</v>
      </c>
      <c r="F26" s="268">
        <f>+O26+W26</f>
        <v>399</v>
      </c>
      <c r="G26" s="268">
        <f>+P26+X26</f>
        <v>83</v>
      </c>
      <c r="H26" s="268">
        <f t="shared" si="42"/>
        <v>1645</v>
      </c>
      <c r="I26" s="273"/>
      <c r="J26" s="231" t="s">
        <v>23</v>
      </c>
      <c r="K26" s="231">
        <v>32.9</v>
      </c>
      <c r="L26" s="231">
        <v>1272</v>
      </c>
      <c r="M26" s="231">
        <v>1122</v>
      </c>
      <c r="N26" s="231">
        <v>24</v>
      </c>
      <c r="O26" s="231">
        <v>177</v>
      </c>
      <c r="P26" s="231">
        <v>50</v>
      </c>
      <c r="Q26" s="231">
        <v>844</v>
      </c>
      <c r="R26" s="231" t="s">
        <v>23</v>
      </c>
      <c r="S26" s="231">
        <v>29.2</v>
      </c>
      <c r="T26" s="231">
        <v>1224</v>
      </c>
      <c r="U26" s="231">
        <v>1110</v>
      </c>
      <c r="V26" s="231">
        <v>38</v>
      </c>
      <c r="W26" s="231">
        <v>222</v>
      </c>
      <c r="X26" s="231">
        <v>33</v>
      </c>
      <c r="Y26" s="231">
        <v>801</v>
      </c>
      <c r="Z26" s="273"/>
      <c r="AA26" s="231" t="s">
        <v>23</v>
      </c>
      <c r="AB26" s="274">
        <v>3</v>
      </c>
      <c r="AC26" s="231">
        <v>120</v>
      </c>
      <c r="AD26" s="231">
        <v>102</v>
      </c>
      <c r="AE26" s="231">
        <v>30</v>
      </c>
      <c r="AF26" s="231">
        <v>6</v>
      </c>
      <c r="AG26" s="231">
        <v>2</v>
      </c>
      <c r="AH26" s="231">
        <v>64</v>
      </c>
      <c r="AI26" s="273"/>
      <c r="AJ26" s="231" t="s">
        <v>23</v>
      </c>
      <c r="AK26" s="231"/>
      <c r="AL26" s="231"/>
      <c r="AM26" s="231">
        <f>AN26+AO26+AP26+AQ26</f>
        <v>0</v>
      </c>
      <c r="AN26" s="231"/>
      <c r="AO26" s="231"/>
      <c r="AP26" s="231"/>
      <c r="AQ26" s="231"/>
    </row>
    <row r="27" spans="1:47">
      <c r="A27" s="248" t="s">
        <v>24</v>
      </c>
      <c r="B27" s="43">
        <f t="shared" si="42"/>
        <v>56.4</v>
      </c>
      <c r="C27" s="43">
        <f t="shared" si="42"/>
        <v>1942</v>
      </c>
      <c r="D27" s="43">
        <f t="shared" si="42"/>
        <v>1791</v>
      </c>
      <c r="E27" s="43">
        <f t="shared" si="42"/>
        <v>184</v>
      </c>
      <c r="F27" s="43">
        <f t="shared" si="42"/>
        <v>194</v>
      </c>
      <c r="G27" s="43">
        <f t="shared" si="42"/>
        <v>12</v>
      </c>
      <c r="H27" s="43">
        <f t="shared" si="42"/>
        <v>1401</v>
      </c>
      <c r="I27" s="273"/>
      <c r="J27" s="248" t="s">
        <v>24</v>
      </c>
      <c r="K27" s="248">
        <v>35.9</v>
      </c>
      <c r="L27" s="248">
        <v>1097</v>
      </c>
      <c r="M27" s="248">
        <v>998</v>
      </c>
      <c r="N27" s="248">
        <v>62</v>
      </c>
      <c r="O27" s="248">
        <v>114</v>
      </c>
      <c r="P27" s="248">
        <v>3</v>
      </c>
      <c r="Q27" s="248">
        <v>819</v>
      </c>
      <c r="R27" s="248" t="s">
        <v>24</v>
      </c>
      <c r="S27" s="248">
        <v>20.5</v>
      </c>
      <c r="T27" s="248">
        <v>845</v>
      </c>
      <c r="U27" s="248">
        <v>793</v>
      </c>
      <c r="V27" s="248">
        <v>122</v>
      </c>
      <c r="W27" s="248">
        <v>80</v>
      </c>
      <c r="X27" s="248">
        <v>9</v>
      </c>
      <c r="Y27" s="248">
        <v>582</v>
      </c>
      <c r="Z27" s="273"/>
      <c r="AA27" s="248" t="s">
        <v>24</v>
      </c>
      <c r="AB27" s="248"/>
      <c r="AC27" s="248">
        <v>69</v>
      </c>
      <c r="AD27" s="248">
        <v>68</v>
      </c>
      <c r="AE27" s="248">
        <v>28</v>
      </c>
      <c r="AF27" s="248">
        <v>3</v>
      </c>
      <c r="AG27" s="248"/>
      <c r="AH27" s="248">
        <v>37</v>
      </c>
      <c r="AI27" s="273"/>
      <c r="AJ27" s="248" t="s">
        <v>24</v>
      </c>
      <c r="AK27" s="248"/>
      <c r="AL27" s="248"/>
      <c r="AM27" s="248"/>
      <c r="AN27" s="248"/>
      <c r="AO27" s="248"/>
      <c r="AP27" s="248"/>
      <c r="AQ27" s="248"/>
    </row>
    <row r="28" spans="1:47">
      <c r="A28" s="248" t="s">
        <v>12</v>
      </c>
      <c r="B28" s="272">
        <f>B27/B26*100</f>
        <v>90.821256038647348</v>
      </c>
      <c r="C28" s="272">
        <f t="shared" ref="C28:H28" si="43">C27/C26*100</f>
        <v>77.804487179487182</v>
      </c>
      <c r="D28" s="272">
        <f t="shared" si="43"/>
        <v>80.241935483870961</v>
      </c>
      <c r="E28" s="272">
        <f t="shared" si="43"/>
        <v>296.77419354838707</v>
      </c>
      <c r="F28" s="272">
        <f t="shared" si="43"/>
        <v>48.62155388471178</v>
      </c>
      <c r="G28" s="272">
        <f t="shared" si="43"/>
        <v>14.457831325301203</v>
      </c>
      <c r="H28" s="272">
        <f t="shared" si="43"/>
        <v>85.167173252279639</v>
      </c>
      <c r="I28" s="273"/>
      <c r="J28" s="248" t="s">
        <v>12</v>
      </c>
      <c r="K28" s="272">
        <f t="shared" ref="K28:Q28" si="44">K27/K26*100</f>
        <v>109.11854103343465</v>
      </c>
      <c r="L28" s="272">
        <f t="shared" si="44"/>
        <v>86.242138364779876</v>
      </c>
      <c r="M28" s="272">
        <f t="shared" si="44"/>
        <v>88.948306595365423</v>
      </c>
      <c r="N28" s="272">
        <f t="shared" si="44"/>
        <v>258.33333333333337</v>
      </c>
      <c r="O28" s="272">
        <f t="shared" si="44"/>
        <v>64.406779661016941</v>
      </c>
      <c r="P28" s="272">
        <f t="shared" si="44"/>
        <v>6</v>
      </c>
      <c r="Q28" s="272">
        <f t="shared" si="44"/>
        <v>97.037914691943129</v>
      </c>
      <c r="R28" s="248" t="s">
        <v>12</v>
      </c>
      <c r="S28" s="272">
        <f t="shared" ref="S28:Y28" si="45">S27/S26*100</f>
        <v>70.205479452054803</v>
      </c>
      <c r="T28" s="272">
        <f t="shared" si="45"/>
        <v>69.035947712418306</v>
      </c>
      <c r="U28" s="272">
        <f t="shared" si="45"/>
        <v>71.441441441441441</v>
      </c>
      <c r="V28" s="272">
        <f t="shared" si="45"/>
        <v>321.0526315789474</v>
      </c>
      <c r="W28" s="272">
        <f t="shared" si="45"/>
        <v>36.036036036036037</v>
      </c>
      <c r="X28" s="272">
        <f t="shared" si="45"/>
        <v>27.27272727272727</v>
      </c>
      <c r="Y28" s="272">
        <f t="shared" si="45"/>
        <v>72.659176029962552</v>
      </c>
      <c r="Z28" s="273"/>
      <c r="AA28" s="248" t="s">
        <v>12</v>
      </c>
      <c r="AB28" s="272">
        <f t="shared" ref="AB28:AH28" si="46">AB27/AB26*100</f>
        <v>0</v>
      </c>
      <c r="AC28" s="272">
        <f t="shared" si="46"/>
        <v>57.499999999999993</v>
      </c>
      <c r="AD28" s="272">
        <f t="shared" si="46"/>
        <v>66.666666666666657</v>
      </c>
      <c r="AE28" s="272">
        <f t="shared" si="46"/>
        <v>93.333333333333329</v>
      </c>
      <c r="AF28" s="272">
        <f t="shared" si="46"/>
        <v>50</v>
      </c>
      <c r="AG28" s="272">
        <f t="shared" si="46"/>
        <v>0</v>
      </c>
      <c r="AH28" s="272">
        <f t="shared" si="46"/>
        <v>57.8125</v>
      </c>
      <c r="AI28" s="273"/>
      <c r="AJ28" s="248" t="s">
        <v>12</v>
      </c>
      <c r="AK28" s="272" t="e">
        <f t="shared" ref="AK28:AQ28" si="47">AK27/AK26*100</f>
        <v>#DIV/0!</v>
      </c>
      <c r="AL28" s="272" t="e">
        <f t="shared" si="47"/>
        <v>#DIV/0!</v>
      </c>
      <c r="AM28" s="272" t="e">
        <f t="shared" si="47"/>
        <v>#DIV/0!</v>
      </c>
      <c r="AN28" s="272" t="e">
        <f t="shared" si="47"/>
        <v>#DIV/0!</v>
      </c>
      <c r="AO28" s="272" t="e">
        <f t="shared" si="47"/>
        <v>#DIV/0!</v>
      </c>
      <c r="AP28" s="272" t="e">
        <f t="shared" si="47"/>
        <v>#DIV/0!</v>
      </c>
      <c r="AQ28" s="272" t="e">
        <f t="shared" si="47"/>
        <v>#DIV/0!</v>
      </c>
    </row>
    <row r="29" spans="1:47">
      <c r="A29" s="231" t="s">
        <v>25</v>
      </c>
      <c r="B29" s="269">
        <f>K29+S29+AK29</f>
        <v>432</v>
      </c>
      <c r="C29" s="268">
        <f t="shared" ref="B29:H30" si="48">L29+T29+AL29</f>
        <v>19301</v>
      </c>
      <c r="D29" s="268">
        <f t="shared" si="48"/>
        <v>17381</v>
      </c>
      <c r="E29" s="268">
        <f t="shared" si="48"/>
        <v>850</v>
      </c>
      <c r="F29" s="268">
        <f t="shared" si="48"/>
        <v>3040</v>
      </c>
      <c r="G29" s="268">
        <f t="shared" si="48"/>
        <v>271</v>
      </c>
      <c r="H29" s="268">
        <f t="shared" si="48"/>
        <v>12850</v>
      </c>
      <c r="I29" s="273"/>
      <c r="J29" s="231" t="s">
        <v>25</v>
      </c>
      <c r="K29" s="274">
        <v>183.1</v>
      </c>
      <c r="L29" s="275">
        <v>5102</v>
      </c>
      <c r="M29" s="275">
        <v>4468</v>
      </c>
      <c r="N29" s="275">
        <v>108</v>
      </c>
      <c r="O29" s="275">
        <v>668</v>
      </c>
      <c r="P29" s="275">
        <v>127</v>
      </c>
      <c r="Q29" s="275">
        <v>3460</v>
      </c>
      <c r="R29" s="231" t="s">
        <v>25</v>
      </c>
      <c r="S29" s="274">
        <v>248.6</v>
      </c>
      <c r="T29" s="231">
        <v>14198</v>
      </c>
      <c r="U29" s="231">
        <v>12912</v>
      </c>
      <c r="V29" s="231">
        <v>742</v>
      </c>
      <c r="W29" s="231">
        <v>2372</v>
      </c>
      <c r="X29" s="231">
        <v>144</v>
      </c>
      <c r="Y29" s="231">
        <v>9390</v>
      </c>
      <c r="Z29" s="273"/>
      <c r="AA29" s="231" t="s">
        <v>25</v>
      </c>
      <c r="AB29" s="274">
        <v>24.8</v>
      </c>
      <c r="AC29" s="231">
        <v>1280</v>
      </c>
      <c r="AD29" s="231">
        <v>1152</v>
      </c>
      <c r="AE29" s="231">
        <v>346</v>
      </c>
      <c r="AF29" s="231">
        <v>42</v>
      </c>
      <c r="AG29" s="231">
        <v>13</v>
      </c>
      <c r="AH29" s="231">
        <v>742</v>
      </c>
      <c r="AI29" s="273"/>
      <c r="AJ29" s="231" t="s">
        <v>25</v>
      </c>
      <c r="AK29" s="231">
        <v>0.3</v>
      </c>
      <c r="AL29" s="231">
        <v>1</v>
      </c>
      <c r="AM29" s="231">
        <v>1</v>
      </c>
      <c r="AN29" s="231">
        <v>0</v>
      </c>
      <c r="AO29" s="231">
        <v>0</v>
      </c>
      <c r="AP29" s="231">
        <v>0</v>
      </c>
      <c r="AQ29" s="231">
        <v>0</v>
      </c>
    </row>
    <row r="30" spans="1:47">
      <c r="A30" s="248" t="s">
        <v>26</v>
      </c>
      <c r="B30" s="43">
        <f t="shared" si="48"/>
        <v>447.4</v>
      </c>
      <c r="C30" s="43">
        <f t="shared" si="48"/>
        <v>19874</v>
      </c>
      <c r="D30" s="43">
        <f t="shared" si="48"/>
        <v>19157</v>
      </c>
      <c r="E30" s="43">
        <f t="shared" si="48"/>
        <v>2364</v>
      </c>
      <c r="F30" s="43">
        <f t="shared" si="48"/>
        <v>2047</v>
      </c>
      <c r="G30" s="43">
        <f t="shared" si="48"/>
        <v>85</v>
      </c>
      <c r="H30" s="43">
        <f t="shared" si="48"/>
        <v>14661</v>
      </c>
      <c r="I30" s="273"/>
      <c r="J30" s="248" t="s">
        <v>26</v>
      </c>
      <c r="K30" s="248">
        <f>194.8+5.1</f>
        <v>199.9</v>
      </c>
      <c r="L30" s="248">
        <f>8236+170</f>
        <v>8406</v>
      </c>
      <c r="M30" s="248">
        <f>8018+154</f>
        <v>8172</v>
      </c>
      <c r="N30" s="248">
        <f>550+3</f>
        <v>553</v>
      </c>
      <c r="O30" s="248">
        <f>1059+40</f>
        <v>1099</v>
      </c>
      <c r="P30" s="248">
        <f>25+11</f>
        <v>36</v>
      </c>
      <c r="Q30" s="248">
        <f>6384+100</f>
        <v>6484</v>
      </c>
      <c r="R30" s="248" t="s">
        <v>26</v>
      </c>
      <c r="S30" s="248">
        <f>224.6+22.9</f>
        <v>247.5</v>
      </c>
      <c r="T30" s="248">
        <f>9784+1684</f>
        <v>11468</v>
      </c>
      <c r="U30" s="248">
        <f>9307+1678</f>
        <v>10985</v>
      </c>
      <c r="V30" s="248">
        <f>1297+514</f>
        <v>1811</v>
      </c>
      <c r="W30" s="248">
        <f>895+53</f>
        <v>948</v>
      </c>
      <c r="X30" s="248">
        <v>49</v>
      </c>
      <c r="Y30" s="248">
        <f>7066+1111</f>
        <v>8177</v>
      </c>
      <c r="Z30" s="273"/>
      <c r="AA30" s="248" t="s">
        <v>26</v>
      </c>
      <c r="AB30" s="248">
        <v>10.1</v>
      </c>
      <c r="AC30" s="248">
        <v>461</v>
      </c>
      <c r="AD30" s="248">
        <v>424</v>
      </c>
      <c r="AE30" s="248">
        <v>138</v>
      </c>
      <c r="AF30" s="248">
        <v>53</v>
      </c>
      <c r="AG30" s="248">
        <v>3</v>
      </c>
      <c r="AH30" s="248">
        <v>230</v>
      </c>
      <c r="AI30" s="273"/>
      <c r="AJ30" s="248" t="s">
        <v>26</v>
      </c>
      <c r="AK30" s="248"/>
      <c r="AL30" s="248"/>
      <c r="AM30" s="248"/>
      <c r="AN30" s="248"/>
      <c r="AO30" s="248"/>
      <c r="AP30" s="248"/>
      <c r="AQ30" s="248"/>
    </row>
    <row r="31" spans="1:47" ht="15.6">
      <c r="A31" s="248" t="s">
        <v>12</v>
      </c>
      <c r="B31" s="272">
        <f t="shared" ref="B31:H31" si="49">B30/B29*100</f>
        <v>103.56481481481481</v>
      </c>
      <c r="C31" s="272">
        <f t="shared" si="49"/>
        <v>102.96875809543546</v>
      </c>
      <c r="D31" s="272">
        <f t="shared" si="49"/>
        <v>110.2180541971118</v>
      </c>
      <c r="E31" s="272">
        <f t="shared" si="49"/>
        <v>278.11764705882354</v>
      </c>
      <c r="F31" s="272">
        <f t="shared" si="49"/>
        <v>67.33552631578948</v>
      </c>
      <c r="G31" s="272">
        <f t="shared" si="49"/>
        <v>31.365313653136536</v>
      </c>
      <c r="H31" s="272">
        <f t="shared" si="49"/>
        <v>114.09338521400778</v>
      </c>
      <c r="I31" s="273"/>
      <c r="J31" s="248" t="s">
        <v>12</v>
      </c>
      <c r="K31" s="272">
        <f t="shared" ref="K31:Q31" si="50">K30/K29*100</f>
        <v>109.17531403604588</v>
      </c>
      <c r="L31" s="272">
        <f t="shared" si="50"/>
        <v>164.75891807134457</v>
      </c>
      <c r="M31" s="272">
        <f t="shared" si="50"/>
        <v>182.9006266786034</v>
      </c>
      <c r="N31" s="272">
        <f t="shared" si="50"/>
        <v>512.03703703703707</v>
      </c>
      <c r="O31" s="272">
        <f t="shared" si="50"/>
        <v>164.52095808383234</v>
      </c>
      <c r="P31" s="272">
        <f t="shared" si="50"/>
        <v>28.346456692913385</v>
      </c>
      <c r="Q31" s="272">
        <f t="shared" si="50"/>
        <v>187.39884393063585</v>
      </c>
      <c r="R31" s="248" t="s">
        <v>12</v>
      </c>
      <c r="S31" s="272">
        <f t="shared" ref="S31:Y31" si="51">S30/S29*100</f>
        <v>99.557522123893804</v>
      </c>
      <c r="T31" s="272">
        <f t="shared" si="51"/>
        <v>80.771939709818284</v>
      </c>
      <c r="U31" s="272">
        <f t="shared" si="51"/>
        <v>85.075898389095414</v>
      </c>
      <c r="V31" s="272">
        <f t="shared" si="51"/>
        <v>244.0700808625337</v>
      </c>
      <c r="W31" s="272">
        <f t="shared" si="51"/>
        <v>39.966273187183809</v>
      </c>
      <c r="X31" s="272">
        <f t="shared" si="51"/>
        <v>34.027777777777779</v>
      </c>
      <c r="Y31" s="272">
        <f t="shared" si="51"/>
        <v>87.082002129925456</v>
      </c>
      <c r="Z31" s="273"/>
      <c r="AA31" s="248" t="s">
        <v>12</v>
      </c>
      <c r="AB31" s="272">
        <f t="shared" ref="AB31:AH31" si="52">AB30/AB29*100</f>
        <v>40.725806451612897</v>
      </c>
      <c r="AC31" s="272">
        <f t="shared" si="52"/>
        <v>36.015625</v>
      </c>
      <c r="AD31" s="272">
        <f t="shared" si="52"/>
        <v>36.805555555555557</v>
      </c>
      <c r="AE31" s="272">
        <f t="shared" si="52"/>
        <v>39.884393063583815</v>
      </c>
      <c r="AF31" s="272">
        <f t="shared" si="52"/>
        <v>126.19047619047619</v>
      </c>
      <c r="AG31" s="272">
        <f t="shared" si="52"/>
        <v>23.076923076923077</v>
      </c>
      <c r="AH31" s="272">
        <f t="shared" si="52"/>
        <v>30.997304582210244</v>
      </c>
      <c r="AI31" s="273"/>
      <c r="AJ31" s="248" t="s">
        <v>12</v>
      </c>
      <c r="AK31" s="272">
        <f t="shared" ref="AK31:AQ31" si="53">AK30/AK29*100</f>
        <v>0</v>
      </c>
      <c r="AL31" s="272">
        <f t="shared" si="53"/>
        <v>0</v>
      </c>
      <c r="AM31" s="272">
        <f t="shared" si="53"/>
        <v>0</v>
      </c>
      <c r="AN31" s="272" t="e">
        <f t="shared" si="53"/>
        <v>#DIV/0!</v>
      </c>
      <c r="AO31" s="272" t="e">
        <f t="shared" si="53"/>
        <v>#DIV/0!</v>
      </c>
      <c r="AP31" s="272" t="e">
        <f t="shared" si="53"/>
        <v>#DIV/0!</v>
      </c>
      <c r="AQ31" s="272" t="e">
        <f t="shared" si="53"/>
        <v>#DIV/0!</v>
      </c>
      <c r="AS31" s="37"/>
      <c r="AT31" s="37"/>
      <c r="AU31" s="37"/>
    </row>
    <row r="32" spans="1:47" ht="15.6">
      <c r="A32" s="231" t="s">
        <v>27</v>
      </c>
      <c r="B32" s="268">
        <f t="shared" ref="B32:H33" si="54">K32+S32+AK32</f>
        <v>1.3</v>
      </c>
      <c r="C32" s="268">
        <f t="shared" si="54"/>
        <v>131</v>
      </c>
      <c r="D32" s="268">
        <f t="shared" si="54"/>
        <v>119</v>
      </c>
      <c r="E32" s="268">
        <f t="shared" si="54"/>
        <v>52</v>
      </c>
      <c r="F32" s="268">
        <f t="shared" si="54"/>
        <v>15</v>
      </c>
      <c r="G32" s="268">
        <f t="shared" si="54"/>
        <v>6</v>
      </c>
      <c r="H32" s="268">
        <f t="shared" si="54"/>
        <v>44</v>
      </c>
      <c r="I32" s="273"/>
      <c r="J32" s="231" t="s">
        <v>27</v>
      </c>
      <c r="K32" s="231">
        <v>0.1</v>
      </c>
      <c r="L32" s="231">
        <v>4</v>
      </c>
      <c r="M32" s="231">
        <v>4</v>
      </c>
      <c r="N32" s="231">
        <v>2</v>
      </c>
      <c r="O32" s="231">
        <v>0</v>
      </c>
      <c r="P32" s="231">
        <v>0</v>
      </c>
      <c r="Q32" s="231">
        <v>2</v>
      </c>
      <c r="R32" s="231" t="s">
        <v>27</v>
      </c>
      <c r="S32" s="231">
        <v>1.2</v>
      </c>
      <c r="T32" s="231">
        <v>127</v>
      </c>
      <c r="U32" s="231">
        <v>115</v>
      </c>
      <c r="V32" s="231">
        <v>50</v>
      </c>
      <c r="W32" s="231">
        <v>15</v>
      </c>
      <c r="X32" s="231">
        <v>6</v>
      </c>
      <c r="Y32" s="231">
        <v>42</v>
      </c>
      <c r="Z32" s="276"/>
      <c r="AA32" s="231" t="s">
        <v>27</v>
      </c>
      <c r="AB32" s="231">
        <v>1.2</v>
      </c>
      <c r="AC32" s="231">
        <v>124</v>
      </c>
      <c r="AD32" s="231">
        <v>112</v>
      </c>
      <c r="AE32" s="231">
        <v>50</v>
      </c>
      <c r="AF32" s="231">
        <v>14</v>
      </c>
      <c r="AG32" s="231">
        <v>6</v>
      </c>
      <c r="AH32" s="231">
        <v>41</v>
      </c>
      <c r="AI32" s="273"/>
      <c r="AJ32" s="231" t="s">
        <v>27</v>
      </c>
      <c r="AK32" s="231"/>
      <c r="AL32" s="231"/>
      <c r="AM32" s="231"/>
      <c r="AN32" s="231"/>
      <c r="AO32" s="231"/>
      <c r="AP32" s="231"/>
      <c r="AQ32" s="231"/>
      <c r="AS32" s="37"/>
      <c r="AT32" s="37"/>
      <c r="AU32" s="37"/>
    </row>
    <row r="33" spans="1:51">
      <c r="A33" s="248" t="s">
        <v>28</v>
      </c>
      <c r="B33" s="43">
        <f t="shared" si="54"/>
        <v>0</v>
      </c>
      <c r="C33" s="43">
        <f t="shared" si="54"/>
        <v>0</v>
      </c>
      <c r="D33" s="43">
        <f t="shared" si="54"/>
        <v>0</v>
      </c>
      <c r="E33" s="43">
        <f t="shared" si="54"/>
        <v>0</v>
      </c>
      <c r="F33" s="43">
        <f t="shared" si="54"/>
        <v>0</v>
      </c>
      <c r="G33" s="43">
        <f t="shared" si="54"/>
        <v>0</v>
      </c>
      <c r="H33" s="43">
        <f t="shared" si="54"/>
        <v>0</v>
      </c>
      <c r="I33" s="273"/>
      <c r="J33" s="248" t="s">
        <v>28</v>
      </c>
      <c r="K33" s="248"/>
      <c r="L33" s="248"/>
      <c r="M33" s="248"/>
      <c r="N33" s="248"/>
      <c r="O33" s="248"/>
      <c r="P33" s="248"/>
      <c r="Q33" s="248"/>
      <c r="R33" s="248" t="s">
        <v>28</v>
      </c>
      <c r="S33" s="248"/>
      <c r="T33" s="248"/>
      <c r="U33" s="248"/>
      <c r="V33" s="248"/>
      <c r="W33" s="248"/>
      <c r="X33" s="248"/>
      <c r="Y33" s="248"/>
      <c r="Z33" s="273"/>
      <c r="AA33" s="248" t="s">
        <v>28</v>
      </c>
      <c r="AB33" s="248"/>
      <c r="AC33" s="248"/>
      <c r="AD33" s="248"/>
      <c r="AE33" s="248"/>
      <c r="AF33" s="248"/>
      <c r="AG33" s="248"/>
      <c r="AH33" s="248"/>
      <c r="AI33" s="273"/>
      <c r="AJ33" s="248" t="s">
        <v>28</v>
      </c>
      <c r="AK33" s="248"/>
      <c r="AL33" s="248"/>
      <c r="AM33" s="248"/>
      <c r="AN33" s="248"/>
      <c r="AO33" s="248"/>
      <c r="AP33" s="248"/>
      <c r="AQ33" s="248"/>
    </row>
    <row r="34" spans="1:51">
      <c r="A34" s="248" t="s">
        <v>12</v>
      </c>
      <c r="B34" s="272">
        <f t="shared" ref="B34:H34" si="55">B33/B32*100</f>
        <v>0</v>
      </c>
      <c r="C34" s="272">
        <f t="shared" si="55"/>
        <v>0</v>
      </c>
      <c r="D34" s="272">
        <f t="shared" si="55"/>
        <v>0</v>
      </c>
      <c r="E34" s="272">
        <f t="shared" si="55"/>
        <v>0</v>
      </c>
      <c r="F34" s="272">
        <f t="shared" si="55"/>
        <v>0</v>
      </c>
      <c r="G34" s="272">
        <f t="shared" si="55"/>
        <v>0</v>
      </c>
      <c r="H34" s="272">
        <f t="shared" si="55"/>
        <v>0</v>
      </c>
      <c r="I34" s="273"/>
      <c r="J34" s="248" t="s">
        <v>12</v>
      </c>
      <c r="K34" s="272">
        <f t="shared" ref="K34:Q34" si="56">K33/K32*100</f>
        <v>0</v>
      </c>
      <c r="L34" s="272">
        <f t="shared" si="56"/>
        <v>0</v>
      </c>
      <c r="M34" s="272">
        <f t="shared" si="56"/>
        <v>0</v>
      </c>
      <c r="N34" s="272">
        <f t="shared" si="56"/>
        <v>0</v>
      </c>
      <c r="O34" s="272" t="e">
        <f t="shared" si="56"/>
        <v>#DIV/0!</v>
      </c>
      <c r="P34" s="272" t="e">
        <f t="shared" si="56"/>
        <v>#DIV/0!</v>
      </c>
      <c r="Q34" s="272">
        <f t="shared" si="56"/>
        <v>0</v>
      </c>
      <c r="R34" s="248" t="s">
        <v>12</v>
      </c>
      <c r="S34" s="272"/>
      <c r="T34" s="272">
        <f t="shared" ref="T34:Y34" si="57">T33/T32*100</f>
        <v>0</v>
      </c>
      <c r="U34" s="272">
        <f t="shared" si="57"/>
        <v>0</v>
      </c>
      <c r="V34" s="272">
        <f t="shared" si="57"/>
        <v>0</v>
      </c>
      <c r="W34" s="272">
        <f t="shared" si="57"/>
        <v>0</v>
      </c>
      <c r="X34" s="272">
        <f t="shared" si="57"/>
        <v>0</v>
      </c>
      <c r="Y34" s="272">
        <f t="shared" si="57"/>
        <v>0</v>
      </c>
      <c r="Z34" s="273"/>
      <c r="AA34" s="248" t="s">
        <v>12</v>
      </c>
      <c r="AB34" s="272">
        <f t="shared" ref="AB34:AH34" si="58">AB33/AB32*100</f>
        <v>0</v>
      </c>
      <c r="AC34" s="272">
        <f t="shared" si="58"/>
        <v>0</v>
      </c>
      <c r="AD34" s="272">
        <f t="shared" si="58"/>
        <v>0</v>
      </c>
      <c r="AE34" s="272">
        <f t="shared" si="58"/>
        <v>0</v>
      </c>
      <c r="AF34" s="272">
        <f t="shared" si="58"/>
        <v>0</v>
      </c>
      <c r="AG34" s="272">
        <f t="shared" si="58"/>
        <v>0</v>
      </c>
      <c r="AH34" s="272">
        <f t="shared" si="58"/>
        <v>0</v>
      </c>
      <c r="AI34" s="273"/>
      <c r="AJ34" s="248" t="s">
        <v>12</v>
      </c>
      <c r="AK34" s="272" t="e">
        <f t="shared" ref="AK34:AQ34" si="59">AK33/AK32*100</f>
        <v>#DIV/0!</v>
      </c>
      <c r="AL34" s="272" t="e">
        <f t="shared" si="59"/>
        <v>#DIV/0!</v>
      </c>
      <c r="AM34" s="272" t="e">
        <f t="shared" si="59"/>
        <v>#DIV/0!</v>
      </c>
      <c r="AN34" s="272" t="e">
        <f t="shared" si="59"/>
        <v>#DIV/0!</v>
      </c>
      <c r="AO34" s="272" t="e">
        <f t="shared" si="59"/>
        <v>#DIV/0!</v>
      </c>
      <c r="AP34" s="272" t="e">
        <f t="shared" si="59"/>
        <v>#DIV/0!</v>
      </c>
      <c r="AQ34" s="272" t="e">
        <f t="shared" si="59"/>
        <v>#DIV/0!</v>
      </c>
    </row>
    <row r="35" spans="1:51" ht="15.6">
      <c r="A35" s="231" t="s">
        <v>29</v>
      </c>
      <c r="B35" s="269">
        <f>K35+S35+AK35</f>
        <v>112.2</v>
      </c>
      <c r="C35" s="268">
        <f t="shared" ref="B35:H36" si="60">L35+T35+AL35</f>
        <v>9141</v>
      </c>
      <c r="D35" s="268">
        <f t="shared" si="60"/>
        <v>8486</v>
      </c>
      <c r="E35" s="268">
        <f t="shared" si="60"/>
        <v>0</v>
      </c>
      <c r="F35" s="268">
        <f t="shared" si="60"/>
        <v>2254</v>
      </c>
      <c r="G35" s="268">
        <f t="shared" si="60"/>
        <v>740</v>
      </c>
      <c r="H35" s="268">
        <f t="shared" si="60"/>
        <v>5386</v>
      </c>
      <c r="I35" s="273"/>
      <c r="J35" s="231" t="s">
        <v>29</v>
      </c>
      <c r="K35" s="274">
        <v>2.1</v>
      </c>
      <c r="L35" s="275">
        <v>166</v>
      </c>
      <c r="M35" s="275">
        <v>144</v>
      </c>
      <c r="N35" s="275">
        <v>0</v>
      </c>
      <c r="O35" s="275">
        <v>16</v>
      </c>
      <c r="P35" s="275">
        <v>16</v>
      </c>
      <c r="Q35" s="275">
        <v>106</v>
      </c>
      <c r="R35" s="231" t="s">
        <v>29</v>
      </c>
      <c r="S35" s="274">
        <v>108.2</v>
      </c>
      <c r="T35" s="231">
        <v>8910</v>
      </c>
      <c r="U35" s="231">
        <v>8282</v>
      </c>
      <c r="V35" s="231">
        <v>0</v>
      </c>
      <c r="W35" s="231">
        <v>2230</v>
      </c>
      <c r="X35" s="231">
        <v>718</v>
      </c>
      <c r="Y35" s="231">
        <v>5237</v>
      </c>
      <c r="Z35" s="273"/>
      <c r="AA35" s="231" t="s">
        <v>29</v>
      </c>
      <c r="AB35" s="274">
        <v>0.2</v>
      </c>
      <c r="AC35" s="231">
        <v>20</v>
      </c>
      <c r="AD35" s="231">
        <v>19</v>
      </c>
      <c r="AE35" s="231">
        <v>0</v>
      </c>
      <c r="AF35" s="231">
        <v>6</v>
      </c>
      <c r="AG35" s="231">
        <v>2</v>
      </c>
      <c r="AH35" s="231">
        <v>12</v>
      </c>
      <c r="AI35" s="273"/>
      <c r="AJ35" s="231" t="s">
        <v>29</v>
      </c>
      <c r="AK35" s="231">
        <v>1.9</v>
      </c>
      <c r="AL35" s="231">
        <v>65</v>
      </c>
      <c r="AM35" s="231">
        <v>60</v>
      </c>
      <c r="AN35" s="231">
        <v>0</v>
      </c>
      <c r="AO35" s="231">
        <v>8</v>
      </c>
      <c r="AP35" s="231">
        <v>6</v>
      </c>
      <c r="AQ35" s="231">
        <v>43</v>
      </c>
      <c r="AT35" s="521"/>
      <c r="AU35" s="521"/>
      <c r="AV35" s="521"/>
      <c r="AW35" s="521"/>
    </row>
    <row r="36" spans="1:51">
      <c r="A36" s="248" t="s">
        <v>30</v>
      </c>
      <c r="B36" s="43">
        <f t="shared" si="60"/>
        <v>109.4</v>
      </c>
      <c r="C36" s="43">
        <f t="shared" si="60"/>
        <v>10018</v>
      </c>
      <c r="D36" s="43">
        <f t="shared" si="60"/>
        <v>9337</v>
      </c>
      <c r="E36" s="43">
        <f t="shared" si="60"/>
        <v>207</v>
      </c>
      <c r="F36" s="43">
        <f t="shared" si="60"/>
        <v>2024</v>
      </c>
      <c r="G36" s="43">
        <f t="shared" si="60"/>
        <v>659</v>
      </c>
      <c r="H36" s="43">
        <f t="shared" si="60"/>
        <v>6447</v>
      </c>
      <c r="I36" s="273"/>
      <c r="J36" s="248" t="s">
        <v>30</v>
      </c>
      <c r="K36" s="248">
        <v>8.9</v>
      </c>
      <c r="L36" s="248">
        <v>823</v>
      </c>
      <c r="M36" s="248">
        <v>750</v>
      </c>
      <c r="N36" s="248">
        <v>22</v>
      </c>
      <c r="O36" s="248">
        <v>202</v>
      </c>
      <c r="P36" s="248">
        <v>88</v>
      </c>
      <c r="Q36" s="248">
        <v>438</v>
      </c>
      <c r="R36" s="248" t="s">
        <v>30</v>
      </c>
      <c r="S36" s="8">
        <v>95</v>
      </c>
      <c r="T36" s="248">
        <v>8831</v>
      </c>
      <c r="U36" s="248">
        <v>8237</v>
      </c>
      <c r="V36" s="248">
        <v>139</v>
      </c>
      <c r="W36" s="248">
        <v>1800</v>
      </c>
      <c r="X36" s="248">
        <v>568</v>
      </c>
      <c r="Y36" s="248">
        <v>5730</v>
      </c>
      <c r="Z36" s="273"/>
      <c r="AA36" s="248" t="s">
        <v>30</v>
      </c>
      <c r="AB36" s="248"/>
      <c r="AC36" s="248"/>
      <c r="AD36" s="248"/>
      <c r="AE36" s="248"/>
      <c r="AF36" s="248"/>
      <c r="AG36" s="248"/>
      <c r="AH36" s="248"/>
      <c r="AI36" s="273"/>
      <c r="AJ36" s="248" t="s">
        <v>30</v>
      </c>
      <c r="AK36" s="248">
        <v>5.5</v>
      </c>
      <c r="AL36" s="248">
        <v>364</v>
      </c>
      <c r="AM36" s="248">
        <v>350</v>
      </c>
      <c r="AN36" s="248">
        <v>46</v>
      </c>
      <c r="AO36" s="248">
        <v>22</v>
      </c>
      <c r="AP36" s="248">
        <v>3</v>
      </c>
      <c r="AQ36" s="248">
        <v>279</v>
      </c>
    </row>
    <row r="37" spans="1:51" ht="15.6">
      <c r="A37" s="248" t="s">
        <v>12</v>
      </c>
      <c r="B37" s="272">
        <f t="shared" ref="B37:H37" si="61">B36/B35*100</f>
        <v>97.50445632798575</v>
      </c>
      <c r="C37" s="272">
        <f t="shared" si="61"/>
        <v>109.59413630893775</v>
      </c>
      <c r="D37" s="272">
        <f t="shared" si="61"/>
        <v>110.02828187603112</v>
      </c>
      <c r="E37" s="272" t="e">
        <f t="shared" si="61"/>
        <v>#DIV/0!</v>
      </c>
      <c r="F37" s="272">
        <f t="shared" si="61"/>
        <v>89.795918367346943</v>
      </c>
      <c r="G37" s="272">
        <f t="shared" si="61"/>
        <v>89.054054054054049</v>
      </c>
      <c r="H37" s="272">
        <f t="shared" si="61"/>
        <v>119.69922020051986</v>
      </c>
      <c r="I37" s="273"/>
      <c r="J37" s="248" t="s">
        <v>12</v>
      </c>
      <c r="K37" s="272">
        <f t="shared" ref="K37:Q37" si="62">K36/K35*100</f>
        <v>423.8095238095238</v>
      </c>
      <c r="L37" s="272">
        <f t="shared" si="62"/>
        <v>495.7831325301205</v>
      </c>
      <c r="M37" s="272">
        <f t="shared" si="62"/>
        <v>520.83333333333326</v>
      </c>
      <c r="N37" s="272" t="e">
        <f t="shared" si="62"/>
        <v>#DIV/0!</v>
      </c>
      <c r="O37" s="272">
        <f t="shared" si="62"/>
        <v>1262.5</v>
      </c>
      <c r="P37" s="272">
        <f t="shared" si="62"/>
        <v>550</v>
      </c>
      <c r="Q37" s="272">
        <f t="shared" si="62"/>
        <v>413.20754716981128</v>
      </c>
      <c r="R37" s="248" t="s">
        <v>12</v>
      </c>
      <c r="S37" s="272">
        <f t="shared" ref="S37:Y37" si="63">S36/S35*100</f>
        <v>87.800369685767095</v>
      </c>
      <c r="T37" s="272">
        <f t="shared" si="63"/>
        <v>99.113355780022445</v>
      </c>
      <c r="U37" s="272">
        <f t="shared" si="63"/>
        <v>99.456652982371409</v>
      </c>
      <c r="V37" s="272" t="e">
        <f t="shared" si="63"/>
        <v>#DIV/0!</v>
      </c>
      <c r="W37" s="272">
        <f t="shared" si="63"/>
        <v>80.717488789237663</v>
      </c>
      <c r="X37" s="272">
        <f t="shared" si="63"/>
        <v>79.108635097493035</v>
      </c>
      <c r="Y37" s="272">
        <f t="shared" si="63"/>
        <v>109.41378651899942</v>
      </c>
      <c r="Z37" s="273"/>
      <c r="AA37" s="248" t="s">
        <v>12</v>
      </c>
      <c r="AB37" s="272">
        <f t="shared" ref="AB37:AH37" si="64">AB36/AB35*100</f>
        <v>0</v>
      </c>
      <c r="AC37" s="272">
        <f t="shared" si="64"/>
        <v>0</v>
      </c>
      <c r="AD37" s="272">
        <f t="shared" si="64"/>
        <v>0</v>
      </c>
      <c r="AE37" s="272" t="e">
        <f t="shared" si="64"/>
        <v>#DIV/0!</v>
      </c>
      <c r="AF37" s="272">
        <f t="shared" si="64"/>
        <v>0</v>
      </c>
      <c r="AG37" s="272">
        <f t="shared" si="64"/>
        <v>0</v>
      </c>
      <c r="AH37" s="272">
        <f t="shared" si="64"/>
        <v>0</v>
      </c>
      <c r="AI37" s="273"/>
      <c r="AJ37" s="248" t="s">
        <v>12</v>
      </c>
      <c r="AK37" s="272">
        <f t="shared" ref="AK37:AQ37" si="65">AK36/AK35*100</f>
        <v>289.4736842105263</v>
      </c>
      <c r="AL37" s="272">
        <f t="shared" si="65"/>
        <v>560</v>
      </c>
      <c r="AM37" s="272">
        <f t="shared" si="65"/>
        <v>583.33333333333326</v>
      </c>
      <c r="AN37" s="272" t="e">
        <f t="shared" si="65"/>
        <v>#DIV/0!</v>
      </c>
      <c r="AO37" s="272">
        <f t="shared" si="65"/>
        <v>275</v>
      </c>
      <c r="AP37" s="272">
        <f t="shared" si="65"/>
        <v>50</v>
      </c>
      <c r="AQ37" s="272">
        <f t="shared" si="65"/>
        <v>648.83720930232562</v>
      </c>
      <c r="AV37" s="521"/>
      <c r="AW37" s="521"/>
      <c r="AX37" s="521"/>
      <c r="AY37" s="521"/>
    </row>
    <row r="38" spans="1:51">
      <c r="A38" s="231" t="s">
        <v>31</v>
      </c>
      <c r="B38" s="268">
        <f>K38+S38+AK38</f>
        <v>199.9</v>
      </c>
      <c r="C38" s="268">
        <f t="shared" ref="C38:H39" si="66">L38+T38+AL38</f>
        <v>9323</v>
      </c>
      <c r="D38" s="268">
        <f t="shared" si="66"/>
        <v>8233</v>
      </c>
      <c r="E38" s="268">
        <f t="shared" si="66"/>
        <v>1312</v>
      </c>
      <c r="F38" s="268">
        <f t="shared" si="66"/>
        <v>2506</v>
      </c>
      <c r="G38" s="268">
        <f t="shared" si="66"/>
        <v>350</v>
      </c>
      <c r="H38" s="268">
        <f t="shared" si="66"/>
        <v>3928</v>
      </c>
      <c r="I38" s="273"/>
      <c r="J38" s="231" t="s">
        <v>31</v>
      </c>
      <c r="K38" s="274">
        <v>135</v>
      </c>
      <c r="L38" s="231">
        <v>4836</v>
      </c>
      <c r="M38" s="231">
        <v>4219</v>
      </c>
      <c r="N38" s="231">
        <v>320</v>
      </c>
      <c r="O38" s="231">
        <v>1614</v>
      </c>
      <c r="P38" s="231">
        <v>222</v>
      </c>
      <c r="Q38" s="231">
        <v>1998</v>
      </c>
      <c r="R38" s="231" t="s">
        <v>31</v>
      </c>
      <c r="S38" s="231">
        <v>61.5</v>
      </c>
      <c r="T38" s="231">
        <v>4250</v>
      </c>
      <c r="U38" s="231">
        <v>3808</v>
      </c>
      <c r="V38" s="231">
        <v>990</v>
      </c>
      <c r="W38" s="231">
        <v>840</v>
      </c>
      <c r="X38" s="231">
        <v>106</v>
      </c>
      <c r="Y38" s="231">
        <v>1803</v>
      </c>
      <c r="Z38" s="273"/>
      <c r="AA38" s="231" t="s">
        <v>31</v>
      </c>
      <c r="AB38" s="231">
        <v>42.5</v>
      </c>
      <c r="AC38" s="231">
        <v>3342</v>
      </c>
      <c r="AD38" s="231">
        <v>3006</v>
      </c>
      <c r="AE38" s="231">
        <v>884</v>
      </c>
      <c r="AF38" s="231">
        <v>610</v>
      </c>
      <c r="AG38" s="231">
        <v>68</v>
      </c>
      <c r="AH38" s="231">
        <v>1385</v>
      </c>
      <c r="AI38" s="273"/>
      <c r="AJ38" s="231" t="s">
        <v>31</v>
      </c>
      <c r="AK38" s="231">
        <v>3.4</v>
      </c>
      <c r="AL38" s="231">
        <v>237</v>
      </c>
      <c r="AM38" s="231">
        <v>206</v>
      </c>
      <c r="AN38" s="231">
        <v>2</v>
      </c>
      <c r="AO38" s="231">
        <v>52</v>
      </c>
      <c r="AP38" s="231">
        <v>22</v>
      </c>
      <c r="AQ38" s="231">
        <v>127</v>
      </c>
      <c r="AS38" s="201"/>
    </row>
    <row r="39" spans="1:51">
      <c r="A39" s="248" t="s">
        <v>32</v>
      </c>
      <c r="B39" s="22">
        <f>K39+S39+AK39</f>
        <v>221.8</v>
      </c>
      <c r="C39" s="43">
        <f t="shared" si="66"/>
        <v>10863</v>
      </c>
      <c r="D39" s="43">
        <f t="shared" si="66"/>
        <v>10191</v>
      </c>
      <c r="E39" s="43">
        <f t="shared" si="66"/>
        <v>2470</v>
      </c>
      <c r="F39" s="43">
        <f t="shared" si="66"/>
        <v>1649</v>
      </c>
      <c r="G39" s="43">
        <f t="shared" si="66"/>
        <v>231</v>
      </c>
      <c r="H39" s="43">
        <f t="shared" si="66"/>
        <v>5841</v>
      </c>
      <c r="I39" s="273"/>
      <c r="J39" s="248" t="s">
        <v>32</v>
      </c>
      <c r="K39" s="248">
        <f>131.1+3.4</f>
        <v>134.5</v>
      </c>
      <c r="L39" s="248">
        <f>4834+140</f>
        <v>4974</v>
      </c>
      <c r="M39" s="248">
        <f>4728+106</f>
        <v>4834</v>
      </c>
      <c r="N39" s="248">
        <f>594+2</f>
        <v>596</v>
      </c>
      <c r="O39" s="248">
        <f>741+35</f>
        <v>776</v>
      </c>
      <c r="P39" s="248">
        <f>133+9</f>
        <v>142</v>
      </c>
      <c r="Q39" s="248">
        <f>3260+60</f>
        <v>3320</v>
      </c>
      <c r="R39" s="248" t="s">
        <v>32</v>
      </c>
      <c r="S39" s="8">
        <v>87.3</v>
      </c>
      <c r="T39" s="248">
        <v>5889</v>
      </c>
      <c r="U39" s="248">
        <v>5357</v>
      </c>
      <c r="V39" s="248">
        <v>1874</v>
      </c>
      <c r="W39" s="248">
        <v>873</v>
      </c>
      <c r="X39" s="248">
        <v>89</v>
      </c>
      <c r="Y39" s="248">
        <v>2521</v>
      </c>
      <c r="Z39" s="273"/>
      <c r="AA39" s="248" t="s">
        <v>32</v>
      </c>
      <c r="AB39" s="248">
        <v>79.3</v>
      </c>
      <c r="AC39" s="248">
        <v>5367</v>
      </c>
      <c r="AD39" s="248">
        <v>4885</v>
      </c>
      <c r="AE39" s="248">
        <v>1814</v>
      </c>
      <c r="AF39" s="248">
        <v>776</v>
      </c>
      <c r="AG39" s="248">
        <v>76</v>
      </c>
      <c r="AH39" s="248">
        <v>2219</v>
      </c>
      <c r="AI39" s="273"/>
      <c r="AJ39" s="248" t="s">
        <v>32</v>
      </c>
      <c r="AK39" s="248"/>
      <c r="AL39" s="248"/>
      <c r="AM39" s="248"/>
      <c r="AN39" s="248"/>
      <c r="AO39" s="248"/>
      <c r="AP39" s="248"/>
      <c r="AQ39" s="248"/>
      <c r="AT39" s="201"/>
    </row>
    <row r="40" spans="1:51">
      <c r="A40" s="248" t="s">
        <v>12</v>
      </c>
      <c r="B40" s="272">
        <f t="shared" ref="B40:H40" si="67">B39/B38*100</f>
        <v>110.95547773886945</v>
      </c>
      <c r="C40" s="272">
        <f t="shared" si="67"/>
        <v>116.51828810468734</v>
      </c>
      <c r="D40" s="272">
        <f t="shared" si="67"/>
        <v>123.78233936596624</v>
      </c>
      <c r="E40" s="272">
        <f t="shared" si="67"/>
        <v>188.26219512195121</v>
      </c>
      <c r="F40" s="272">
        <f t="shared" si="67"/>
        <v>65.802075019952113</v>
      </c>
      <c r="G40" s="272">
        <f t="shared" si="67"/>
        <v>66</v>
      </c>
      <c r="H40" s="272">
        <f t="shared" si="67"/>
        <v>148.70162932790222</v>
      </c>
      <c r="I40" s="273"/>
      <c r="J40" s="248" t="s">
        <v>12</v>
      </c>
      <c r="K40" s="272">
        <f t="shared" ref="K40:Q40" si="68">K39/K38*100</f>
        <v>99.629629629629633</v>
      </c>
      <c r="L40" s="272">
        <f t="shared" si="68"/>
        <v>102.85359801488833</v>
      </c>
      <c r="M40" s="272">
        <f t="shared" si="68"/>
        <v>114.5769139606542</v>
      </c>
      <c r="N40" s="272">
        <f t="shared" si="68"/>
        <v>186.25</v>
      </c>
      <c r="O40" s="272">
        <f t="shared" si="68"/>
        <v>48.079306071871123</v>
      </c>
      <c r="P40" s="272">
        <f t="shared" si="68"/>
        <v>63.963963963963963</v>
      </c>
      <c r="Q40" s="272">
        <f t="shared" si="68"/>
        <v>166.16616616616616</v>
      </c>
      <c r="R40" s="248" t="s">
        <v>12</v>
      </c>
      <c r="S40" s="272">
        <f t="shared" ref="S40:Y40" si="69">S39/S38*100</f>
        <v>141.95121951219511</v>
      </c>
      <c r="T40" s="272">
        <f t="shared" si="69"/>
        <v>138.56470588235294</v>
      </c>
      <c r="U40" s="272">
        <f t="shared" si="69"/>
        <v>140.67752100840337</v>
      </c>
      <c r="V40" s="272">
        <f t="shared" si="69"/>
        <v>189.2929292929293</v>
      </c>
      <c r="W40" s="272">
        <f t="shared" si="69"/>
        <v>103.92857142857143</v>
      </c>
      <c r="X40" s="272">
        <f t="shared" si="69"/>
        <v>83.962264150943398</v>
      </c>
      <c r="Y40" s="272">
        <f t="shared" si="69"/>
        <v>139.82251802551303</v>
      </c>
      <c r="Z40" s="273"/>
      <c r="AA40" s="248" t="s">
        <v>12</v>
      </c>
      <c r="AB40" s="272">
        <f t="shared" ref="AB40:AG40" si="70">AB39/AB38*100</f>
        <v>186.58823529411762</v>
      </c>
      <c r="AC40" s="272">
        <f t="shared" si="70"/>
        <v>160.59245960502693</v>
      </c>
      <c r="AD40" s="272">
        <f t="shared" si="70"/>
        <v>162.50831669993346</v>
      </c>
      <c r="AE40" s="272">
        <f t="shared" si="70"/>
        <v>205.20361990950224</v>
      </c>
      <c r="AF40" s="272">
        <f t="shared" si="70"/>
        <v>127.21311475409836</v>
      </c>
      <c r="AG40" s="272">
        <f t="shared" si="70"/>
        <v>111.76470588235294</v>
      </c>
      <c r="AH40" s="272">
        <f>+AH39/AH38*100</f>
        <v>160.21660649819495</v>
      </c>
      <c r="AI40" s="273"/>
      <c r="AJ40" s="248" t="s">
        <v>12</v>
      </c>
      <c r="AK40" s="272">
        <f t="shared" ref="AK40:AQ40" si="71">AK39/AK38*100</f>
        <v>0</v>
      </c>
      <c r="AL40" s="272">
        <f t="shared" si="71"/>
        <v>0</v>
      </c>
      <c r="AM40" s="272">
        <f t="shared" si="71"/>
        <v>0</v>
      </c>
      <c r="AN40" s="272">
        <f t="shared" si="71"/>
        <v>0</v>
      </c>
      <c r="AO40" s="272">
        <f t="shared" si="71"/>
        <v>0</v>
      </c>
      <c r="AP40" s="272">
        <f t="shared" si="71"/>
        <v>0</v>
      </c>
      <c r="AQ40" s="272">
        <f t="shared" si="71"/>
        <v>0</v>
      </c>
    </row>
    <row r="41" spans="1:51" s="37" customFormat="1" ht="15.6">
      <c r="A41" s="73"/>
      <c r="H41" s="74"/>
      <c r="Q41" s="74"/>
      <c r="Y41" s="74"/>
      <c r="AH41" s="74"/>
      <c r="AQ41" s="74"/>
    </row>
    <row r="42" spans="1:51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51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51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51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51">
      <c r="A46" s="82" t="s">
        <v>40</v>
      </c>
      <c r="B46" s="83">
        <f t="shared" ref="B46:H47" si="72">K9+S9+AK9</f>
        <v>822.69999999999993</v>
      </c>
      <c r="C46" s="83">
        <f t="shared" si="72"/>
        <v>41568</v>
      </c>
      <c r="D46" s="83">
        <f t="shared" si="72"/>
        <v>37466</v>
      </c>
      <c r="E46" s="83">
        <f t="shared" si="72"/>
        <v>2760</v>
      </c>
      <c r="F46" s="83">
        <f t="shared" si="72"/>
        <v>8368</v>
      </c>
      <c r="G46" s="83">
        <f t="shared" si="72"/>
        <v>1484</v>
      </c>
      <c r="H46" s="83">
        <f t="shared" si="72"/>
        <v>24168</v>
      </c>
    </row>
    <row r="47" spans="1:51">
      <c r="A47" s="84" t="s">
        <v>50</v>
      </c>
      <c r="B47" s="83">
        <f t="shared" si="72"/>
        <v>845.9</v>
      </c>
      <c r="C47" s="83">
        <f t="shared" si="72"/>
        <v>43477</v>
      </c>
      <c r="D47" s="83">
        <f t="shared" si="72"/>
        <v>41177</v>
      </c>
      <c r="E47" s="83">
        <f t="shared" si="72"/>
        <v>5460</v>
      </c>
      <c r="F47" s="83">
        <f t="shared" si="72"/>
        <v>6012</v>
      </c>
      <c r="G47" s="83">
        <f t="shared" si="72"/>
        <v>993</v>
      </c>
      <c r="H47" s="83">
        <f t="shared" si="72"/>
        <v>28712</v>
      </c>
    </row>
    <row r="48" spans="1:51">
      <c r="A48" s="85" t="s">
        <v>44</v>
      </c>
      <c r="B48" s="86">
        <f>B47/B46*100</f>
        <v>102.81998298286132</v>
      </c>
      <c r="C48" s="86">
        <f t="shared" ref="C48:H48" si="73">C47/C46*100</f>
        <v>104.59247498075443</v>
      </c>
      <c r="D48" s="86">
        <f t="shared" si="73"/>
        <v>109.90498051566755</v>
      </c>
      <c r="E48" s="86">
        <f t="shared" si="73"/>
        <v>197.82608695652172</v>
      </c>
      <c r="F48" s="86">
        <f t="shared" si="73"/>
        <v>71.845124282982781</v>
      </c>
      <c r="G48" s="86">
        <f t="shared" si="73"/>
        <v>66.913746630727772</v>
      </c>
      <c r="H48" s="86">
        <f t="shared" si="73"/>
        <v>118.80172128434295</v>
      </c>
    </row>
    <row r="49" spans="1:8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8">
      <c r="A50" s="75" t="s">
        <v>40</v>
      </c>
      <c r="B50" s="90">
        <f t="shared" ref="B50:H51" si="74">K13+S13+AK13</f>
        <v>15.2</v>
      </c>
      <c r="C50" s="90">
        <f t="shared" si="74"/>
        <v>1176</v>
      </c>
      <c r="D50" s="90">
        <f t="shared" si="74"/>
        <v>1015</v>
      </c>
      <c r="E50" s="90">
        <f t="shared" si="74"/>
        <v>484</v>
      </c>
      <c r="F50" s="90">
        <f t="shared" si="74"/>
        <v>154</v>
      </c>
      <c r="G50" s="90">
        <f t="shared" si="74"/>
        <v>34</v>
      </c>
      <c r="H50" s="90">
        <f t="shared" si="74"/>
        <v>315</v>
      </c>
    </row>
    <row r="51" spans="1:8">
      <c r="A51" s="75" t="s">
        <v>50</v>
      </c>
      <c r="B51" s="90">
        <f t="shared" si="74"/>
        <v>10.9</v>
      </c>
      <c r="C51" s="90">
        <f t="shared" si="74"/>
        <v>780</v>
      </c>
      <c r="D51" s="90">
        <f t="shared" si="74"/>
        <v>701</v>
      </c>
      <c r="E51" s="90">
        <f t="shared" si="74"/>
        <v>235</v>
      </c>
      <c r="F51" s="90">
        <f t="shared" si="74"/>
        <v>98</v>
      </c>
      <c r="G51" s="90">
        <f t="shared" si="74"/>
        <v>6</v>
      </c>
      <c r="H51" s="90">
        <f t="shared" si="74"/>
        <v>362</v>
      </c>
    </row>
    <row r="52" spans="1:8">
      <c r="A52" s="75" t="s">
        <v>44</v>
      </c>
      <c r="B52" s="91">
        <f t="shared" ref="B52:H52" si="75">B51/B50*100</f>
        <v>71.71052631578948</v>
      </c>
      <c r="C52" s="91">
        <f t="shared" si="75"/>
        <v>66.326530612244895</v>
      </c>
      <c r="D52" s="91">
        <f t="shared" si="75"/>
        <v>69.064039408866989</v>
      </c>
      <c r="E52" s="91">
        <f t="shared" si="75"/>
        <v>48.553719008264466</v>
      </c>
      <c r="F52" s="91">
        <f t="shared" si="75"/>
        <v>63.636363636363633</v>
      </c>
      <c r="G52" s="91">
        <f t="shared" si="75"/>
        <v>17.647058823529413</v>
      </c>
      <c r="H52" s="91">
        <f t="shared" si="75"/>
        <v>114.92063492063491</v>
      </c>
    </row>
    <row r="53" spans="1:8">
      <c r="A53" s="75" t="s">
        <v>13</v>
      </c>
      <c r="B53" s="90">
        <f t="shared" ref="B53:H55" si="76">K16+S16+AK16</f>
        <v>0</v>
      </c>
      <c r="C53" s="90">
        <f t="shared" si="76"/>
        <v>0</v>
      </c>
      <c r="D53" s="90">
        <f t="shared" si="76"/>
        <v>0</v>
      </c>
      <c r="E53" s="90">
        <f t="shared" si="76"/>
        <v>0</v>
      </c>
      <c r="F53" s="90">
        <f t="shared" si="76"/>
        <v>0</v>
      </c>
      <c r="G53" s="90">
        <f t="shared" si="76"/>
        <v>0</v>
      </c>
      <c r="H53" s="90">
        <f t="shared" si="76"/>
        <v>0</v>
      </c>
    </row>
    <row r="54" spans="1:8">
      <c r="A54" s="92" t="s">
        <v>14</v>
      </c>
      <c r="B54" s="90">
        <f t="shared" si="76"/>
        <v>0</v>
      </c>
      <c r="C54" s="90">
        <f t="shared" si="76"/>
        <v>0</v>
      </c>
      <c r="D54" s="90">
        <f t="shared" si="76"/>
        <v>0</v>
      </c>
      <c r="E54" s="90">
        <f t="shared" si="76"/>
        <v>0</v>
      </c>
      <c r="F54" s="90">
        <f t="shared" si="76"/>
        <v>0</v>
      </c>
      <c r="G54" s="90">
        <f t="shared" si="76"/>
        <v>0</v>
      </c>
      <c r="H54" s="90">
        <f t="shared" si="76"/>
        <v>0</v>
      </c>
    </row>
    <row r="55" spans="1:8">
      <c r="A55" s="75" t="s">
        <v>15</v>
      </c>
      <c r="B55" s="90">
        <f t="shared" si="76"/>
        <v>0</v>
      </c>
      <c r="C55" s="90">
        <f t="shared" si="76"/>
        <v>0</v>
      </c>
      <c r="D55" s="90">
        <f t="shared" si="76"/>
        <v>0</v>
      </c>
      <c r="E55" s="90">
        <f t="shared" si="76"/>
        <v>0</v>
      </c>
      <c r="F55" s="90">
        <f t="shared" si="76"/>
        <v>0</v>
      </c>
      <c r="G55" s="90">
        <f t="shared" si="76"/>
        <v>0</v>
      </c>
      <c r="H55" s="90">
        <f t="shared" si="76"/>
        <v>0</v>
      </c>
    </row>
    <row r="56" spans="1:8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8">
      <c r="A57" s="75" t="s">
        <v>40</v>
      </c>
      <c r="B57" s="90">
        <f t="shared" ref="B57:H58" si="77">K20+S20+AK20</f>
        <v>807.49999999999989</v>
      </c>
      <c r="C57" s="90">
        <f t="shared" si="77"/>
        <v>40392</v>
      </c>
      <c r="D57" s="90">
        <f t="shared" si="77"/>
        <v>36451</v>
      </c>
      <c r="E57" s="90">
        <f t="shared" si="77"/>
        <v>2276</v>
      </c>
      <c r="F57" s="90">
        <f t="shared" si="77"/>
        <v>8214</v>
      </c>
      <c r="G57" s="90">
        <f t="shared" si="77"/>
        <v>1450</v>
      </c>
      <c r="H57" s="90">
        <f t="shared" si="77"/>
        <v>23853</v>
      </c>
    </row>
    <row r="58" spans="1:8">
      <c r="A58" s="92" t="s">
        <v>50</v>
      </c>
      <c r="B58" s="90">
        <f t="shared" si="77"/>
        <v>835</v>
      </c>
      <c r="C58" s="90">
        <f t="shared" si="77"/>
        <v>42697</v>
      </c>
      <c r="D58" s="90">
        <f t="shared" si="77"/>
        <v>40476</v>
      </c>
      <c r="E58" s="90">
        <f t="shared" si="77"/>
        <v>5225</v>
      </c>
      <c r="F58" s="90">
        <f t="shared" si="77"/>
        <v>5914</v>
      </c>
      <c r="G58" s="90">
        <f t="shared" si="77"/>
        <v>987</v>
      </c>
      <c r="H58" s="90">
        <f t="shared" si="77"/>
        <v>28350</v>
      </c>
    </row>
    <row r="59" spans="1:8">
      <c r="A59" s="75" t="s">
        <v>44</v>
      </c>
      <c r="B59" s="91">
        <f t="shared" ref="B59:H59" si="78">B58/B57*100</f>
        <v>103.40557275541798</v>
      </c>
      <c r="C59" s="91">
        <f t="shared" si="78"/>
        <v>105.70657555951675</v>
      </c>
      <c r="D59" s="91">
        <f t="shared" si="78"/>
        <v>111.04222106389399</v>
      </c>
      <c r="E59" s="91">
        <f t="shared" si="78"/>
        <v>229.56942003514936</v>
      </c>
      <c r="F59" s="91">
        <f t="shared" si="78"/>
        <v>71.999026053080101</v>
      </c>
      <c r="G59" s="91">
        <f t="shared" si="78"/>
        <v>68.068965517241381</v>
      </c>
      <c r="H59" s="91">
        <f t="shared" si="78"/>
        <v>118.8529744686203</v>
      </c>
    </row>
    <row r="60" spans="1:8">
      <c r="A60" s="75" t="s">
        <v>21</v>
      </c>
      <c r="B60" s="90">
        <f t="shared" ref="B60:H61" si="79">K23+S23+AK23</f>
        <v>0</v>
      </c>
      <c r="C60" s="90">
        <f t="shared" si="79"/>
        <v>0</v>
      </c>
      <c r="D60" s="90">
        <f t="shared" si="79"/>
        <v>0</v>
      </c>
      <c r="E60" s="90">
        <f t="shared" si="79"/>
        <v>0</v>
      </c>
      <c r="F60" s="90">
        <f t="shared" si="79"/>
        <v>0</v>
      </c>
      <c r="G60" s="90">
        <f t="shared" si="79"/>
        <v>0</v>
      </c>
      <c r="H60" s="90">
        <f t="shared" si="79"/>
        <v>0</v>
      </c>
    </row>
    <row r="61" spans="1:8">
      <c r="A61" s="75" t="s">
        <v>51</v>
      </c>
      <c r="B61" s="90">
        <f t="shared" si="79"/>
        <v>0</v>
      </c>
      <c r="C61" s="90">
        <f t="shared" si="79"/>
        <v>0</v>
      </c>
      <c r="D61" s="90">
        <f t="shared" si="79"/>
        <v>0</v>
      </c>
      <c r="E61" s="90">
        <f t="shared" si="79"/>
        <v>0</v>
      </c>
      <c r="F61" s="90">
        <f t="shared" si="79"/>
        <v>0</v>
      </c>
      <c r="G61" s="90">
        <f t="shared" si="79"/>
        <v>0</v>
      </c>
      <c r="H61" s="90">
        <f t="shared" si="79"/>
        <v>0</v>
      </c>
    </row>
    <row r="62" spans="1:8">
      <c r="A62" s="75" t="s">
        <v>12</v>
      </c>
      <c r="B62" s="91" t="e">
        <f t="shared" ref="B62:H62" si="80">B61/B60*100</f>
        <v>#DIV/0!</v>
      </c>
      <c r="C62" s="91" t="e">
        <f t="shared" si="80"/>
        <v>#DIV/0!</v>
      </c>
      <c r="D62" s="91" t="e">
        <f t="shared" si="80"/>
        <v>#DIV/0!</v>
      </c>
      <c r="E62" s="91" t="e">
        <f t="shared" si="80"/>
        <v>#DIV/0!</v>
      </c>
      <c r="F62" s="91" t="e">
        <f t="shared" si="80"/>
        <v>#DIV/0!</v>
      </c>
      <c r="G62" s="91" t="e">
        <f t="shared" si="80"/>
        <v>#DIV/0!</v>
      </c>
      <c r="H62" s="91" t="e">
        <f t="shared" si="80"/>
        <v>#DIV/0!</v>
      </c>
    </row>
    <row r="63" spans="1:8">
      <c r="A63" s="75" t="s">
        <v>23</v>
      </c>
      <c r="B63" s="90">
        <f t="shared" ref="B63:H64" si="81">K26+S26+AK26</f>
        <v>62.099999999999994</v>
      </c>
      <c r="C63" s="90">
        <f t="shared" si="81"/>
        <v>2496</v>
      </c>
      <c r="D63" s="90">
        <f t="shared" si="81"/>
        <v>2232</v>
      </c>
      <c r="E63" s="90">
        <f t="shared" si="81"/>
        <v>62</v>
      </c>
      <c r="F63" s="90">
        <f t="shared" si="81"/>
        <v>399</v>
      </c>
      <c r="G63" s="90">
        <f t="shared" si="81"/>
        <v>83</v>
      </c>
      <c r="H63" s="90">
        <f t="shared" si="81"/>
        <v>1645</v>
      </c>
    </row>
    <row r="64" spans="1:8">
      <c r="A64" s="75" t="s">
        <v>45</v>
      </c>
      <c r="B64" s="90">
        <f t="shared" si="81"/>
        <v>56.4</v>
      </c>
      <c r="C64" s="90">
        <f t="shared" si="81"/>
        <v>1942</v>
      </c>
      <c r="D64" s="90">
        <f t="shared" si="81"/>
        <v>1791</v>
      </c>
      <c r="E64" s="90">
        <f t="shared" si="81"/>
        <v>184</v>
      </c>
      <c r="F64" s="90">
        <f t="shared" si="81"/>
        <v>194</v>
      </c>
      <c r="G64" s="90">
        <f t="shared" si="81"/>
        <v>12</v>
      </c>
      <c r="H64" s="90">
        <f t="shared" si="81"/>
        <v>1401</v>
      </c>
    </row>
    <row r="65" spans="1:8">
      <c r="A65" s="75" t="s">
        <v>12</v>
      </c>
      <c r="B65" s="91">
        <f t="shared" ref="B65:H65" si="82">B64/B63*100</f>
        <v>90.821256038647348</v>
      </c>
      <c r="C65" s="91">
        <f t="shared" si="82"/>
        <v>77.804487179487182</v>
      </c>
      <c r="D65" s="91">
        <f t="shared" si="82"/>
        <v>80.241935483870961</v>
      </c>
      <c r="E65" s="91">
        <f t="shared" si="82"/>
        <v>296.77419354838707</v>
      </c>
      <c r="F65" s="91">
        <f t="shared" si="82"/>
        <v>48.62155388471178</v>
      </c>
      <c r="G65" s="91">
        <f t="shared" si="82"/>
        <v>14.457831325301203</v>
      </c>
      <c r="H65" s="91">
        <f t="shared" si="82"/>
        <v>85.167173252279639</v>
      </c>
    </row>
    <row r="66" spans="1:8">
      <c r="A66" s="75" t="s">
        <v>25</v>
      </c>
      <c r="B66" s="90">
        <f t="shared" ref="B66:H67" si="83">K29+S29+AK29</f>
        <v>432</v>
      </c>
      <c r="C66" s="90">
        <f t="shared" si="83"/>
        <v>19301</v>
      </c>
      <c r="D66" s="90">
        <f t="shared" si="83"/>
        <v>17381</v>
      </c>
      <c r="E66" s="90">
        <f t="shared" si="83"/>
        <v>850</v>
      </c>
      <c r="F66" s="90">
        <f t="shared" si="83"/>
        <v>3040</v>
      </c>
      <c r="G66" s="90">
        <f t="shared" si="83"/>
        <v>271</v>
      </c>
      <c r="H66" s="90">
        <f t="shared" si="83"/>
        <v>12850</v>
      </c>
    </row>
    <row r="67" spans="1:8">
      <c r="A67" s="75" t="s">
        <v>46</v>
      </c>
      <c r="B67" s="90">
        <f t="shared" si="83"/>
        <v>447.4</v>
      </c>
      <c r="C67" s="90">
        <f t="shared" si="83"/>
        <v>19874</v>
      </c>
      <c r="D67" s="90">
        <f t="shared" si="83"/>
        <v>19157</v>
      </c>
      <c r="E67" s="90">
        <f t="shared" si="83"/>
        <v>2364</v>
      </c>
      <c r="F67" s="90">
        <f t="shared" si="83"/>
        <v>2047</v>
      </c>
      <c r="G67" s="90">
        <f t="shared" si="83"/>
        <v>85</v>
      </c>
      <c r="H67" s="90">
        <f t="shared" si="83"/>
        <v>14661</v>
      </c>
    </row>
    <row r="68" spans="1:8">
      <c r="A68" s="75" t="s">
        <v>12</v>
      </c>
      <c r="B68" s="91">
        <f t="shared" ref="B68:H68" si="84">B67/B66*100</f>
        <v>103.56481481481481</v>
      </c>
      <c r="C68" s="91">
        <f t="shared" si="84"/>
        <v>102.96875809543546</v>
      </c>
      <c r="D68" s="91">
        <f t="shared" si="84"/>
        <v>110.2180541971118</v>
      </c>
      <c r="E68" s="91">
        <f t="shared" si="84"/>
        <v>278.11764705882354</v>
      </c>
      <c r="F68" s="91">
        <f t="shared" si="84"/>
        <v>67.33552631578948</v>
      </c>
      <c r="G68" s="91">
        <f t="shared" si="84"/>
        <v>31.365313653136536</v>
      </c>
      <c r="H68" s="91">
        <f t="shared" si="84"/>
        <v>114.09338521400778</v>
      </c>
    </row>
    <row r="69" spans="1:8">
      <c r="A69" s="75" t="s">
        <v>27</v>
      </c>
      <c r="B69" s="90">
        <f t="shared" ref="B69:H70" si="85">K32+S32+AK32</f>
        <v>1.3</v>
      </c>
      <c r="C69" s="90">
        <f t="shared" si="85"/>
        <v>131</v>
      </c>
      <c r="D69" s="90">
        <f t="shared" si="85"/>
        <v>119</v>
      </c>
      <c r="E69" s="90">
        <f t="shared" si="85"/>
        <v>52</v>
      </c>
      <c r="F69" s="90">
        <f t="shared" si="85"/>
        <v>15</v>
      </c>
      <c r="G69" s="90">
        <f t="shared" si="85"/>
        <v>6</v>
      </c>
      <c r="H69" s="90">
        <f t="shared" si="85"/>
        <v>44</v>
      </c>
    </row>
    <row r="70" spans="1:8">
      <c r="A70" s="75" t="s">
        <v>47</v>
      </c>
      <c r="B70" s="90">
        <f t="shared" si="85"/>
        <v>0</v>
      </c>
      <c r="C70" s="90">
        <f t="shared" si="85"/>
        <v>0</v>
      </c>
      <c r="D70" s="90">
        <f t="shared" si="85"/>
        <v>0</v>
      </c>
      <c r="E70" s="90">
        <f t="shared" si="85"/>
        <v>0</v>
      </c>
      <c r="F70" s="90">
        <f t="shared" si="85"/>
        <v>0</v>
      </c>
      <c r="G70" s="90">
        <f t="shared" si="85"/>
        <v>0</v>
      </c>
      <c r="H70" s="90">
        <f t="shared" si="85"/>
        <v>0</v>
      </c>
    </row>
    <row r="71" spans="1:8">
      <c r="A71" s="75" t="s">
        <v>12</v>
      </c>
      <c r="B71" s="91">
        <f t="shared" ref="B71:H71" si="86">B70/B69*100</f>
        <v>0</v>
      </c>
      <c r="C71" s="91">
        <f t="shared" si="86"/>
        <v>0</v>
      </c>
      <c r="D71" s="91">
        <f t="shared" si="86"/>
        <v>0</v>
      </c>
      <c r="E71" s="91">
        <f t="shared" si="86"/>
        <v>0</v>
      </c>
      <c r="F71" s="91">
        <f t="shared" si="86"/>
        <v>0</v>
      </c>
      <c r="G71" s="91">
        <f t="shared" si="86"/>
        <v>0</v>
      </c>
      <c r="H71" s="91">
        <f t="shared" si="86"/>
        <v>0</v>
      </c>
    </row>
    <row r="72" spans="1:8">
      <c r="A72" s="75" t="s">
        <v>29</v>
      </c>
      <c r="B72" s="90">
        <f t="shared" ref="B72:H73" si="87">K35+S35+AK35</f>
        <v>112.2</v>
      </c>
      <c r="C72" s="90">
        <f t="shared" si="87"/>
        <v>9141</v>
      </c>
      <c r="D72" s="90">
        <f t="shared" si="87"/>
        <v>8486</v>
      </c>
      <c r="E72" s="90">
        <f t="shared" si="87"/>
        <v>0</v>
      </c>
      <c r="F72" s="90">
        <f t="shared" si="87"/>
        <v>2254</v>
      </c>
      <c r="G72" s="90">
        <f t="shared" si="87"/>
        <v>740</v>
      </c>
      <c r="H72" s="90">
        <f t="shared" si="87"/>
        <v>5386</v>
      </c>
    </row>
    <row r="73" spans="1:8">
      <c r="A73" s="75" t="s">
        <v>48</v>
      </c>
      <c r="B73" s="90">
        <f t="shared" si="87"/>
        <v>109.4</v>
      </c>
      <c r="C73" s="90">
        <f t="shared" si="87"/>
        <v>10018</v>
      </c>
      <c r="D73" s="90">
        <f t="shared" si="87"/>
        <v>9337</v>
      </c>
      <c r="E73" s="90">
        <f t="shared" si="87"/>
        <v>207</v>
      </c>
      <c r="F73" s="90">
        <f t="shared" si="87"/>
        <v>2024</v>
      </c>
      <c r="G73" s="90">
        <f t="shared" si="87"/>
        <v>659</v>
      </c>
      <c r="H73" s="90">
        <f t="shared" si="87"/>
        <v>6447</v>
      </c>
    </row>
    <row r="74" spans="1:8">
      <c r="A74" s="75" t="s">
        <v>12</v>
      </c>
      <c r="B74" s="91">
        <f t="shared" ref="B74:H74" si="88">B73/B72*100</f>
        <v>97.50445632798575</v>
      </c>
      <c r="C74" s="91">
        <f t="shared" si="88"/>
        <v>109.59413630893775</v>
      </c>
      <c r="D74" s="91">
        <f t="shared" si="88"/>
        <v>110.02828187603112</v>
      </c>
      <c r="E74" s="91" t="e">
        <f t="shared" si="88"/>
        <v>#DIV/0!</v>
      </c>
      <c r="F74" s="91">
        <f t="shared" si="88"/>
        <v>89.795918367346943</v>
      </c>
      <c r="G74" s="91">
        <f t="shared" si="88"/>
        <v>89.054054054054049</v>
      </c>
      <c r="H74" s="91">
        <f t="shared" si="88"/>
        <v>119.69922020051986</v>
      </c>
    </row>
    <row r="75" spans="1:8">
      <c r="A75" s="75" t="s">
        <v>31</v>
      </c>
      <c r="B75" s="90">
        <f t="shared" ref="B75:H76" si="89">K38+S38+AK38</f>
        <v>199.9</v>
      </c>
      <c r="C75" s="90">
        <f t="shared" si="89"/>
        <v>9323</v>
      </c>
      <c r="D75" s="90">
        <f t="shared" si="89"/>
        <v>8233</v>
      </c>
      <c r="E75" s="90">
        <f t="shared" si="89"/>
        <v>1312</v>
      </c>
      <c r="F75" s="90">
        <f t="shared" si="89"/>
        <v>2506</v>
      </c>
      <c r="G75" s="90">
        <f t="shared" si="89"/>
        <v>350</v>
      </c>
      <c r="H75" s="90">
        <f t="shared" si="89"/>
        <v>3928</v>
      </c>
    </row>
    <row r="76" spans="1:8">
      <c r="A76" s="75" t="s">
        <v>52</v>
      </c>
      <c r="B76" s="90">
        <f t="shared" si="89"/>
        <v>221.8</v>
      </c>
      <c r="C76" s="90">
        <f t="shared" si="89"/>
        <v>10863</v>
      </c>
      <c r="D76" s="90">
        <f t="shared" si="89"/>
        <v>10191</v>
      </c>
      <c r="E76" s="90">
        <f t="shared" si="89"/>
        <v>2470</v>
      </c>
      <c r="F76" s="90">
        <f t="shared" si="89"/>
        <v>1649</v>
      </c>
      <c r="G76" s="90">
        <f t="shared" si="89"/>
        <v>231</v>
      </c>
      <c r="H76" s="90">
        <f t="shared" si="89"/>
        <v>5841</v>
      </c>
    </row>
    <row r="77" spans="1:8">
      <c r="A77" s="75" t="s">
        <v>12</v>
      </c>
      <c r="B77" s="91">
        <f t="shared" ref="B77:H77" si="90">B76/B75*100</f>
        <v>110.95547773886945</v>
      </c>
      <c r="C77" s="91">
        <f t="shared" si="90"/>
        <v>116.51828810468734</v>
      </c>
      <c r="D77" s="91">
        <f t="shared" si="90"/>
        <v>123.78233936596624</v>
      </c>
      <c r="E77" s="91">
        <f t="shared" si="90"/>
        <v>188.26219512195121</v>
      </c>
      <c r="F77" s="91">
        <f t="shared" si="90"/>
        <v>65.802075019952113</v>
      </c>
      <c r="G77" s="91">
        <f t="shared" si="90"/>
        <v>66</v>
      </c>
      <c r="H77" s="91">
        <f t="shared" si="90"/>
        <v>148.70162932790222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91">B9-B46</f>
        <v>0</v>
      </c>
      <c r="C83" s="83">
        <f t="shared" si="91"/>
        <v>0</v>
      </c>
      <c r="D83" s="83">
        <f t="shared" si="91"/>
        <v>0</v>
      </c>
      <c r="E83" s="83">
        <f t="shared" si="91"/>
        <v>0</v>
      </c>
      <c r="F83" s="83">
        <f t="shared" si="91"/>
        <v>0</v>
      </c>
      <c r="G83" s="83">
        <f t="shared" si="91"/>
        <v>0</v>
      </c>
      <c r="H83" s="83">
        <f t="shared" si="91"/>
        <v>0</v>
      </c>
    </row>
    <row r="84" spans="1:8">
      <c r="A84" s="84" t="s">
        <v>50</v>
      </c>
      <c r="B84" s="83">
        <f t="shared" si="91"/>
        <v>0</v>
      </c>
      <c r="C84" s="83">
        <f t="shared" si="91"/>
        <v>0</v>
      </c>
      <c r="D84" s="83">
        <f t="shared" si="91"/>
        <v>0</v>
      </c>
      <c r="E84" s="83">
        <f t="shared" si="91"/>
        <v>0</v>
      </c>
      <c r="F84" s="83">
        <f t="shared" si="91"/>
        <v>0</v>
      </c>
      <c r="G84" s="83">
        <f t="shared" si="91"/>
        <v>0</v>
      </c>
      <c r="H84" s="83">
        <f t="shared" si="91"/>
        <v>0</v>
      </c>
    </row>
    <row r="85" spans="1:8">
      <c r="A85" s="85" t="s">
        <v>44</v>
      </c>
      <c r="B85" s="83">
        <f t="shared" si="91"/>
        <v>0</v>
      </c>
      <c r="C85" s="83">
        <f t="shared" si="91"/>
        <v>0</v>
      </c>
      <c r="D85" s="83">
        <f t="shared" si="91"/>
        <v>0</v>
      </c>
      <c r="E85" s="83">
        <f t="shared" si="91"/>
        <v>0</v>
      </c>
      <c r="F85" s="83">
        <f t="shared" si="91"/>
        <v>0</v>
      </c>
      <c r="G85" s="83">
        <f t="shared" si="91"/>
        <v>0</v>
      </c>
      <c r="H85" s="83">
        <f t="shared" si="91"/>
        <v>0</v>
      </c>
    </row>
    <row r="86" spans="1:8">
      <c r="A86" s="87" t="s">
        <v>11</v>
      </c>
      <c r="B86" s="83">
        <f t="shared" si="91"/>
        <v>0</v>
      </c>
      <c r="C86" s="83">
        <f t="shared" si="91"/>
        <v>0</v>
      </c>
      <c r="D86" s="83">
        <f t="shared" si="91"/>
        <v>0</v>
      </c>
      <c r="E86" s="83">
        <f t="shared" si="91"/>
        <v>0</v>
      </c>
      <c r="F86" s="83">
        <f t="shared" si="91"/>
        <v>0</v>
      </c>
      <c r="G86" s="83">
        <f t="shared" si="91"/>
        <v>0</v>
      </c>
      <c r="H86" s="83">
        <f t="shared" si="91"/>
        <v>0</v>
      </c>
    </row>
    <row r="87" spans="1:8">
      <c r="A87" s="75" t="s">
        <v>40</v>
      </c>
      <c r="B87" s="83">
        <f t="shared" si="91"/>
        <v>0</v>
      </c>
      <c r="C87" s="83">
        <f t="shared" si="91"/>
        <v>0</v>
      </c>
      <c r="D87" s="83">
        <f t="shared" si="91"/>
        <v>0</v>
      </c>
      <c r="E87" s="83">
        <f t="shared" si="91"/>
        <v>0</v>
      </c>
      <c r="F87" s="83">
        <f t="shared" si="91"/>
        <v>0</v>
      </c>
      <c r="G87" s="83">
        <f t="shared" si="91"/>
        <v>0</v>
      </c>
      <c r="H87" s="83">
        <f t="shared" si="91"/>
        <v>0</v>
      </c>
    </row>
    <row r="88" spans="1:8">
      <c r="A88" s="75" t="s">
        <v>50</v>
      </c>
      <c r="B88" s="83">
        <f t="shared" si="91"/>
        <v>0</v>
      </c>
      <c r="C88" s="83">
        <f t="shared" si="91"/>
        <v>0</v>
      </c>
      <c r="D88" s="83">
        <f t="shared" si="91"/>
        <v>0</v>
      </c>
      <c r="E88" s="83">
        <f t="shared" si="91"/>
        <v>0</v>
      </c>
      <c r="F88" s="83">
        <f t="shared" si="91"/>
        <v>0</v>
      </c>
      <c r="G88" s="83">
        <f t="shared" si="91"/>
        <v>0</v>
      </c>
      <c r="H88" s="83">
        <f t="shared" si="91"/>
        <v>0</v>
      </c>
    </row>
    <row r="89" spans="1:8">
      <c r="A89" s="75" t="s">
        <v>44</v>
      </c>
      <c r="B89" s="83">
        <f t="shared" si="91"/>
        <v>0</v>
      </c>
      <c r="C89" s="83">
        <f t="shared" si="91"/>
        <v>0</v>
      </c>
      <c r="D89" s="83">
        <f t="shared" si="91"/>
        <v>0</v>
      </c>
      <c r="E89" s="83">
        <f t="shared" si="91"/>
        <v>0</v>
      </c>
      <c r="F89" s="83">
        <f t="shared" si="91"/>
        <v>0</v>
      </c>
      <c r="G89" s="83">
        <f t="shared" si="91"/>
        <v>0</v>
      </c>
      <c r="H89" s="83">
        <f t="shared" si="91"/>
        <v>0</v>
      </c>
    </row>
    <row r="90" spans="1:8">
      <c r="A90" s="75" t="s">
        <v>13</v>
      </c>
      <c r="B90" s="83">
        <f t="shared" si="91"/>
        <v>0</v>
      </c>
      <c r="C90" s="83">
        <f t="shared" si="91"/>
        <v>0</v>
      </c>
      <c r="D90" s="83">
        <f t="shared" si="91"/>
        <v>0</v>
      </c>
      <c r="E90" s="83">
        <f t="shared" si="91"/>
        <v>0</v>
      </c>
      <c r="F90" s="83">
        <f t="shared" si="91"/>
        <v>0</v>
      </c>
      <c r="G90" s="83">
        <f t="shared" si="91"/>
        <v>0</v>
      </c>
      <c r="H90" s="83">
        <f t="shared" si="91"/>
        <v>0</v>
      </c>
    </row>
    <row r="91" spans="1:8">
      <c r="A91" s="92" t="s">
        <v>14</v>
      </c>
      <c r="B91" s="83">
        <f t="shared" si="91"/>
        <v>0</v>
      </c>
      <c r="C91" s="83">
        <f t="shared" si="91"/>
        <v>0</v>
      </c>
      <c r="D91" s="83">
        <f t="shared" si="91"/>
        <v>0</v>
      </c>
      <c r="E91" s="83">
        <f t="shared" si="91"/>
        <v>0</v>
      </c>
      <c r="F91" s="83">
        <f t="shared" si="91"/>
        <v>0</v>
      </c>
      <c r="G91" s="83">
        <f t="shared" si="91"/>
        <v>0</v>
      </c>
      <c r="H91" s="83">
        <f t="shared" si="91"/>
        <v>0</v>
      </c>
    </row>
    <row r="92" spans="1:8">
      <c r="A92" s="75" t="s">
        <v>15</v>
      </c>
      <c r="B92" s="83">
        <f t="shared" si="91"/>
        <v>0</v>
      </c>
      <c r="C92" s="83">
        <f t="shared" si="91"/>
        <v>0</v>
      </c>
      <c r="D92" s="83">
        <f t="shared" si="91"/>
        <v>0</v>
      </c>
      <c r="E92" s="83">
        <f t="shared" si="91"/>
        <v>0</v>
      </c>
      <c r="F92" s="83">
        <f t="shared" si="91"/>
        <v>0</v>
      </c>
      <c r="G92" s="83">
        <f t="shared" si="91"/>
        <v>0</v>
      </c>
      <c r="H92" s="83">
        <f t="shared" si="91"/>
        <v>0</v>
      </c>
    </row>
    <row r="93" spans="1:8">
      <c r="A93" s="87" t="s">
        <v>16</v>
      </c>
      <c r="B93" s="83">
        <f t="shared" si="91"/>
        <v>0</v>
      </c>
      <c r="C93" s="83">
        <f t="shared" si="91"/>
        <v>0</v>
      </c>
      <c r="D93" s="83">
        <f t="shared" si="91"/>
        <v>0</v>
      </c>
      <c r="E93" s="83">
        <f t="shared" si="91"/>
        <v>0</v>
      </c>
      <c r="F93" s="83">
        <f t="shared" si="91"/>
        <v>0</v>
      </c>
      <c r="G93" s="83">
        <f t="shared" si="91"/>
        <v>0</v>
      </c>
      <c r="H93" s="83">
        <f t="shared" si="91"/>
        <v>0</v>
      </c>
    </row>
    <row r="94" spans="1:8">
      <c r="A94" s="75" t="s">
        <v>40</v>
      </c>
      <c r="B94" s="83">
        <f t="shared" si="91"/>
        <v>0</v>
      </c>
      <c r="C94" s="83">
        <f t="shared" si="91"/>
        <v>0</v>
      </c>
      <c r="D94" s="83">
        <f t="shared" si="91"/>
        <v>0</v>
      </c>
      <c r="E94" s="83">
        <f t="shared" si="91"/>
        <v>0</v>
      </c>
      <c r="F94" s="83">
        <f t="shared" si="91"/>
        <v>0</v>
      </c>
      <c r="G94" s="83">
        <f t="shared" si="91"/>
        <v>0</v>
      </c>
      <c r="H94" s="83">
        <f t="shared" si="91"/>
        <v>0</v>
      </c>
    </row>
    <row r="95" spans="1:8">
      <c r="A95" s="92" t="s">
        <v>50</v>
      </c>
      <c r="B95" s="83">
        <f t="shared" si="91"/>
        <v>0</v>
      </c>
      <c r="C95" s="83">
        <f t="shared" si="91"/>
        <v>0</v>
      </c>
      <c r="D95" s="83">
        <f t="shared" si="91"/>
        <v>0</v>
      </c>
      <c r="E95" s="83">
        <f t="shared" si="91"/>
        <v>0</v>
      </c>
      <c r="F95" s="83">
        <f t="shared" si="91"/>
        <v>0</v>
      </c>
      <c r="G95" s="83">
        <f t="shared" si="91"/>
        <v>0</v>
      </c>
      <c r="H95" s="83">
        <f t="shared" si="91"/>
        <v>0</v>
      </c>
    </row>
    <row r="96" spans="1:8">
      <c r="A96" s="75" t="s">
        <v>44</v>
      </c>
      <c r="B96" s="83">
        <f t="shared" si="91"/>
        <v>0</v>
      </c>
      <c r="C96" s="83">
        <f t="shared" si="91"/>
        <v>0</v>
      </c>
      <c r="D96" s="83">
        <f t="shared" si="91"/>
        <v>0</v>
      </c>
      <c r="E96" s="83">
        <f t="shared" si="91"/>
        <v>0</v>
      </c>
      <c r="F96" s="83">
        <f t="shared" si="91"/>
        <v>0</v>
      </c>
      <c r="G96" s="83">
        <f t="shared" si="91"/>
        <v>0</v>
      </c>
      <c r="H96" s="83">
        <f t="shared" si="91"/>
        <v>0</v>
      </c>
    </row>
    <row r="97" spans="1:8">
      <c r="A97" s="75" t="s">
        <v>21</v>
      </c>
      <c r="B97" s="83">
        <f t="shared" si="91"/>
        <v>0</v>
      </c>
      <c r="C97" s="83">
        <f t="shared" si="91"/>
        <v>0</v>
      </c>
      <c r="D97" s="83">
        <f t="shared" si="91"/>
        <v>0</v>
      </c>
      <c r="E97" s="83">
        <f t="shared" si="91"/>
        <v>0</v>
      </c>
      <c r="F97" s="83">
        <f t="shared" si="91"/>
        <v>0</v>
      </c>
      <c r="G97" s="83">
        <f t="shared" si="91"/>
        <v>0</v>
      </c>
      <c r="H97" s="83">
        <f t="shared" si="91"/>
        <v>0</v>
      </c>
    </row>
    <row r="98" spans="1:8">
      <c r="A98" s="75" t="s">
        <v>51</v>
      </c>
      <c r="B98" s="83">
        <f t="shared" si="91"/>
        <v>0</v>
      </c>
      <c r="C98" s="83">
        <f t="shared" si="91"/>
        <v>0</v>
      </c>
      <c r="D98" s="83">
        <f t="shared" si="91"/>
        <v>0</v>
      </c>
      <c r="E98" s="83">
        <f t="shared" si="91"/>
        <v>0</v>
      </c>
      <c r="F98" s="83">
        <f t="shared" si="91"/>
        <v>0</v>
      </c>
      <c r="G98" s="83">
        <f t="shared" si="91"/>
        <v>0</v>
      </c>
      <c r="H98" s="83">
        <f t="shared" si="91"/>
        <v>0</v>
      </c>
    </row>
    <row r="99" spans="1:8">
      <c r="A99" s="75" t="s">
        <v>12</v>
      </c>
      <c r="B99" s="83" t="e">
        <f t="shared" ref="B99:H114" si="92">B25-B62</f>
        <v>#DIV/0!</v>
      </c>
      <c r="C99" s="83" t="e">
        <f t="shared" si="92"/>
        <v>#DIV/0!</v>
      </c>
      <c r="D99" s="83" t="e">
        <f t="shared" si="92"/>
        <v>#DIV/0!</v>
      </c>
      <c r="E99" s="83" t="e">
        <f t="shared" si="92"/>
        <v>#DIV/0!</v>
      </c>
      <c r="F99" s="83" t="e">
        <f t="shared" si="92"/>
        <v>#DIV/0!</v>
      </c>
      <c r="G99" s="83" t="e">
        <f t="shared" si="92"/>
        <v>#DIV/0!</v>
      </c>
      <c r="H99" s="83" t="e">
        <f t="shared" si="92"/>
        <v>#DIV/0!</v>
      </c>
    </row>
    <row r="100" spans="1:8">
      <c r="A100" s="75" t="s">
        <v>23</v>
      </c>
      <c r="B100" s="83">
        <f t="shared" si="92"/>
        <v>0</v>
      </c>
      <c r="C100" s="83">
        <f t="shared" si="92"/>
        <v>0</v>
      </c>
      <c r="D100" s="83">
        <f t="shared" si="92"/>
        <v>0</v>
      </c>
      <c r="E100" s="83">
        <f t="shared" si="92"/>
        <v>0</v>
      </c>
      <c r="F100" s="83">
        <f t="shared" si="92"/>
        <v>0</v>
      </c>
      <c r="G100" s="83">
        <f t="shared" si="92"/>
        <v>0</v>
      </c>
      <c r="H100" s="83">
        <f t="shared" si="92"/>
        <v>0</v>
      </c>
    </row>
    <row r="101" spans="1:8">
      <c r="A101" s="75" t="s">
        <v>45</v>
      </c>
      <c r="B101" s="83">
        <f t="shared" si="92"/>
        <v>0</v>
      </c>
      <c r="C101" s="83">
        <f t="shared" si="92"/>
        <v>0</v>
      </c>
      <c r="D101" s="83">
        <f t="shared" si="92"/>
        <v>0</v>
      </c>
      <c r="E101" s="83">
        <f t="shared" si="92"/>
        <v>0</v>
      </c>
      <c r="F101" s="83">
        <f t="shared" si="92"/>
        <v>0</v>
      </c>
      <c r="G101" s="83">
        <f t="shared" si="92"/>
        <v>0</v>
      </c>
      <c r="H101" s="83">
        <f t="shared" si="92"/>
        <v>0</v>
      </c>
    </row>
    <row r="102" spans="1:8">
      <c r="A102" s="75" t="s">
        <v>12</v>
      </c>
      <c r="B102" s="83">
        <f t="shared" si="92"/>
        <v>0</v>
      </c>
      <c r="C102" s="83">
        <f t="shared" si="92"/>
        <v>0</v>
      </c>
      <c r="D102" s="83">
        <f t="shared" si="92"/>
        <v>0</v>
      </c>
      <c r="E102" s="83">
        <f t="shared" si="92"/>
        <v>0</v>
      </c>
      <c r="F102" s="83">
        <f t="shared" si="92"/>
        <v>0</v>
      </c>
      <c r="G102" s="83">
        <f t="shared" si="92"/>
        <v>0</v>
      </c>
      <c r="H102" s="83">
        <f t="shared" si="92"/>
        <v>0</v>
      </c>
    </row>
    <row r="103" spans="1:8">
      <c r="A103" s="75" t="s">
        <v>25</v>
      </c>
      <c r="B103" s="83">
        <f t="shared" si="92"/>
        <v>0</v>
      </c>
      <c r="C103" s="83">
        <f t="shared" si="92"/>
        <v>0</v>
      </c>
      <c r="D103" s="83">
        <f t="shared" si="92"/>
        <v>0</v>
      </c>
      <c r="E103" s="83">
        <f t="shared" si="92"/>
        <v>0</v>
      </c>
      <c r="F103" s="83">
        <f t="shared" si="92"/>
        <v>0</v>
      </c>
      <c r="G103" s="83">
        <f t="shared" si="92"/>
        <v>0</v>
      </c>
      <c r="H103" s="83">
        <f t="shared" si="92"/>
        <v>0</v>
      </c>
    </row>
    <row r="104" spans="1:8">
      <c r="A104" s="75" t="s">
        <v>46</v>
      </c>
      <c r="B104" s="83">
        <f t="shared" si="92"/>
        <v>0</v>
      </c>
      <c r="C104" s="83">
        <f t="shared" si="92"/>
        <v>0</v>
      </c>
      <c r="D104" s="83">
        <f t="shared" si="92"/>
        <v>0</v>
      </c>
      <c r="E104" s="83">
        <f t="shared" si="92"/>
        <v>0</v>
      </c>
      <c r="F104" s="83">
        <f t="shared" si="92"/>
        <v>0</v>
      </c>
      <c r="G104" s="83">
        <f t="shared" si="92"/>
        <v>0</v>
      </c>
      <c r="H104" s="83">
        <f t="shared" si="92"/>
        <v>0</v>
      </c>
    </row>
    <row r="105" spans="1:8">
      <c r="A105" s="75" t="s">
        <v>12</v>
      </c>
      <c r="B105" s="83">
        <f t="shared" si="92"/>
        <v>0</v>
      </c>
      <c r="C105" s="83">
        <f t="shared" si="92"/>
        <v>0</v>
      </c>
      <c r="D105" s="83">
        <f t="shared" si="92"/>
        <v>0</v>
      </c>
      <c r="E105" s="83">
        <f t="shared" si="92"/>
        <v>0</v>
      </c>
      <c r="F105" s="83">
        <f t="shared" si="92"/>
        <v>0</v>
      </c>
      <c r="G105" s="83">
        <f t="shared" si="92"/>
        <v>0</v>
      </c>
      <c r="H105" s="83">
        <f t="shared" si="92"/>
        <v>0</v>
      </c>
    </row>
    <row r="106" spans="1:8">
      <c r="A106" s="75" t="s">
        <v>27</v>
      </c>
      <c r="B106" s="83">
        <f t="shared" si="92"/>
        <v>0</v>
      </c>
      <c r="C106" s="83">
        <f t="shared" si="92"/>
        <v>0</v>
      </c>
      <c r="D106" s="83">
        <f t="shared" si="92"/>
        <v>0</v>
      </c>
      <c r="E106" s="83">
        <f t="shared" si="92"/>
        <v>0</v>
      </c>
      <c r="F106" s="83">
        <f t="shared" si="92"/>
        <v>0</v>
      </c>
      <c r="G106" s="83">
        <f t="shared" si="92"/>
        <v>0</v>
      </c>
      <c r="H106" s="83">
        <f t="shared" si="92"/>
        <v>0</v>
      </c>
    </row>
    <row r="107" spans="1:8">
      <c r="A107" s="75" t="s">
        <v>47</v>
      </c>
      <c r="B107" s="83">
        <f t="shared" si="92"/>
        <v>0</v>
      </c>
      <c r="C107" s="83">
        <f t="shared" si="92"/>
        <v>0</v>
      </c>
      <c r="D107" s="83">
        <f t="shared" si="92"/>
        <v>0</v>
      </c>
      <c r="E107" s="83">
        <f t="shared" si="92"/>
        <v>0</v>
      </c>
      <c r="F107" s="83">
        <f t="shared" si="92"/>
        <v>0</v>
      </c>
      <c r="G107" s="83">
        <f t="shared" si="92"/>
        <v>0</v>
      </c>
      <c r="H107" s="83">
        <f t="shared" si="92"/>
        <v>0</v>
      </c>
    </row>
    <row r="108" spans="1:8">
      <c r="A108" s="75" t="s">
        <v>12</v>
      </c>
      <c r="B108" s="83">
        <f t="shared" si="92"/>
        <v>0</v>
      </c>
      <c r="C108" s="83">
        <f t="shared" si="92"/>
        <v>0</v>
      </c>
      <c r="D108" s="83">
        <f t="shared" si="92"/>
        <v>0</v>
      </c>
      <c r="E108" s="83">
        <f t="shared" si="92"/>
        <v>0</v>
      </c>
      <c r="F108" s="83">
        <f t="shared" si="92"/>
        <v>0</v>
      </c>
      <c r="G108" s="83">
        <f t="shared" si="92"/>
        <v>0</v>
      </c>
      <c r="H108" s="83">
        <f t="shared" si="92"/>
        <v>0</v>
      </c>
    </row>
    <row r="109" spans="1:8">
      <c r="A109" s="75" t="s">
        <v>29</v>
      </c>
      <c r="B109" s="83">
        <f t="shared" si="92"/>
        <v>0</v>
      </c>
      <c r="C109" s="83">
        <f t="shared" si="92"/>
        <v>0</v>
      </c>
      <c r="D109" s="83">
        <f t="shared" si="92"/>
        <v>0</v>
      </c>
      <c r="E109" s="83">
        <f t="shared" si="92"/>
        <v>0</v>
      </c>
      <c r="F109" s="83">
        <f t="shared" si="92"/>
        <v>0</v>
      </c>
      <c r="G109" s="83">
        <f t="shared" si="92"/>
        <v>0</v>
      </c>
      <c r="H109" s="83">
        <f t="shared" si="92"/>
        <v>0</v>
      </c>
    </row>
    <row r="110" spans="1:8">
      <c r="A110" s="75" t="s">
        <v>48</v>
      </c>
      <c r="B110" s="83">
        <f t="shared" si="92"/>
        <v>0</v>
      </c>
      <c r="C110" s="83">
        <f t="shared" si="92"/>
        <v>0</v>
      </c>
      <c r="D110" s="83">
        <f t="shared" si="92"/>
        <v>0</v>
      </c>
      <c r="E110" s="83">
        <f t="shared" si="92"/>
        <v>0</v>
      </c>
      <c r="F110" s="83">
        <f t="shared" si="92"/>
        <v>0</v>
      </c>
      <c r="G110" s="83">
        <f t="shared" si="92"/>
        <v>0</v>
      </c>
      <c r="H110" s="83">
        <f t="shared" si="92"/>
        <v>0</v>
      </c>
    </row>
    <row r="111" spans="1:8">
      <c r="A111" s="75" t="s">
        <v>12</v>
      </c>
      <c r="B111" s="83">
        <f t="shared" si="92"/>
        <v>0</v>
      </c>
      <c r="C111" s="83">
        <f t="shared" si="92"/>
        <v>0</v>
      </c>
      <c r="D111" s="83">
        <f t="shared" si="92"/>
        <v>0</v>
      </c>
      <c r="E111" s="83" t="e">
        <f t="shared" si="92"/>
        <v>#DIV/0!</v>
      </c>
      <c r="F111" s="83">
        <f t="shared" si="92"/>
        <v>0</v>
      </c>
      <c r="G111" s="83">
        <f t="shared" si="92"/>
        <v>0</v>
      </c>
      <c r="H111" s="83">
        <f t="shared" si="92"/>
        <v>0</v>
      </c>
    </row>
    <row r="112" spans="1:8">
      <c r="A112" s="75" t="s">
        <v>31</v>
      </c>
      <c r="B112" s="83">
        <f t="shared" si="92"/>
        <v>0</v>
      </c>
      <c r="C112" s="83">
        <f t="shared" si="92"/>
        <v>0</v>
      </c>
      <c r="D112" s="83">
        <f t="shared" si="92"/>
        <v>0</v>
      </c>
      <c r="E112" s="83">
        <f t="shared" si="92"/>
        <v>0</v>
      </c>
      <c r="F112" s="83">
        <f t="shared" si="92"/>
        <v>0</v>
      </c>
      <c r="G112" s="83">
        <f t="shared" si="92"/>
        <v>0</v>
      </c>
      <c r="H112" s="83">
        <f t="shared" si="92"/>
        <v>0</v>
      </c>
    </row>
    <row r="113" spans="1:8">
      <c r="A113" s="75" t="s">
        <v>52</v>
      </c>
      <c r="B113" s="83">
        <f t="shared" si="92"/>
        <v>0</v>
      </c>
      <c r="C113" s="83">
        <f t="shared" si="92"/>
        <v>0</v>
      </c>
      <c r="D113" s="83">
        <f t="shared" si="92"/>
        <v>0</v>
      </c>
      <c r="E113" s="83">
        <f t="shared" si="92"/>
        <v>0</v>
      </c>
      <c r="F113" s="83">
        <f t="shared" si="92"/>
        <v>0</v>
      </c>
      <c r="G113" s="83">
        <f t="shared" si="92"/>
        <v>0</v>
      </c>
      <c r="H113" s="83">
        <f t="shared" si="92"/>
        <v>0</v>
      </c>
    </row>
    <row r="114" spans="1:8">
      <c r="A114" s="75" t="s">
        <v>12</v>
      </c>
      <c r="B114" s="83">
        <f t="shared" si="92"/>
        <v>0</v>
      </c>
      <c r="C114" s="83">
        <f t="shared" si="92"/>
        <v>0</v>
      </c>
      <c r="D114" s="83">
        <f t="shared" si="92"/>
        <v>0</v>
      </c>
      <c r="E114" s="83">
        <f t="shared" si="92"/>
        <v>0</v>
      </c>
      <c r="F114" s="83">
        <f t="shared" si="92"/>
        <v>0</v>
      </c>
      <c r="G114" s="83">
        <f t="shared" si="92"/>
        <v>0</v>
      </c>
      <c r="H114" s="83">
        <f t="shared" si="92"/>
        <v>0</v>
      </c>
    </row>
  </sheetData>
  <mergeCells count="18">
    <mergeCell ref="AA12:AH12"/>
    <mergeCell ref="AJ12:AQ12"/>
    <mergeCell ref="AT35:AW35"/>
    <mergeCell ref="AV37:AY37"/>
    <mergeCell ref="AA19:AH19"/>
    <mergeCell ref="A4:H4"/>
    <mergeCell ref="A8:H8"/>
    <mergeCell ref="J8:Q8"/>
    <mergeCell ref="R8:Y8"/>
    <mergeCell ref="J19:Q19"/>
    <mergeCell ref="R19:Y19"/>
    <mergeCell ref="R12:Y12"/>
    <mergeCell ref="AA8:AH8"/>
    <mergeCell ref="AJ19:AQ19"/>
    <mergeCell ref="A19:H19"/>
    <mergeCell ref="AJ8:AQ8"/>
    <mergeCell ref="A12:H12"/>
    <mergeCell ref="J12:Q12"/>
  </mergeCells>
  <phoneticPr fontId="17" type="noConversion"/>
  <pageMargins left="0.2" right="0.7" top="0.26" bottom="0.4" header="0.13" footer="0.3"/>
  <pageSetup paperSize="9" orientation="landscape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4"/>
  <dimension ref="A1:BC114"/>
  <sheetViews>
    <sheetView zoomScaleNormal="100" workbookViewId="0">
      <selection activeCell="A9" sqref="A9:AQ40"/>
    </sheetView>
  </sheetViews>
  <sheetFormatPr defaultColWidth="9.109375" defaultRowHeight="13.2"/>
  <cols>
    <col min="1" max="1" width="14.6640625" customWidth="1"/>
    <col min="2" max="2" width="7.88671875" customWidth="1"/>
    <col min="3" max="3" width="9.109375" customWidth="1"/>
    <col min="4" max="4" width="9.33203125" customWidth="1"/>
    <col min="5" max="5" width="10" customWidth="1"/>
    <col min="6" max="6" width="8.33203125" customWidth="1"/>
    <col min="7" max="7" width="7.109375" customWidth="1"/>
    <col min="8" max="8" width="8.33203125" customWidth="1"/>
    <col min="9" max="9" width="4.88671875" customWidth="1"/>
    <col min="10" max="10" width="14.88671875" customWidth="1"/>
    <col min="11" max="11" width="7.88671875" customWidth="1"/>
    <col min="12" max="12" width="7.33203125" customWidth="1"/>
    <col min="13" max="13" width="7.88671875" customWidth="1"/>
    <col min="14" max="14" width="7.77734375" customWidth="1"/>
    <col min="18" max="18" width="15.5546875" customWidth="1"/>
    <col min="19" max="19" width="6.6640625" customWidth="1"/>
    <col min="20" max="20" width="8.88671875" customWidth="1"/>
    <col min="21" max="21" width="7.6640625" customWidth="1"/>
    <col min="22" max="22" width="7.33203125" customWidth="1"/>
    <col min="23" max="23" width="7.6640625" customWidth="1"/>
    <col min="24" max="24" width="7.33203125" customWidth="1"/>
    <col min="25" max="25" width="10" customWidth="1"/>
    <col min="27" max="27" width="20" customWidth="1"/>
    <col min="28" max="28" width="16.109375" customWidth="1"/>
    <col min="31" max="31" width="7" customWidth="1"/>
    <col min="32" max="34" width="7.109375" customWidth="1"/>
    <col min="36" max="36" width="11.6640625" customWidth="1"/>
  </cols>
  <sheetData>
    <row r="1" spans="1:55" s="12" customFormat="1" ht="18.75" customHeight="1">
      <c r="A1" s="466" t="s">
        <v>55</v>
      </c>
      <c r="B1" s="466"/>
      <c r="C1" s="466"/>
      <c r="D1" s="466"/>
      <c r="E1" s="466"/>
      <c r="F1" s="466"/>
      <c r="G1" s="466"/>
      <c r="H1" s="466"/>
      <c r="I1"/>
      <c r="K1" s="37"/>
      <c r="L1" s="37"/>
      <c r="M1" s="37"/>
      <c r="N1" s="37"/>
      <c r="O1" s="37"/>
      <c r="P1" s="37"/>
      <c r="Q1" s="38" t="s">
        <v>33</v>
      </c>
    </row>
    <row r="2" spans="1:55" s="12" customFormat="1" ht="29.25" customHeight="1">
      <c r="A2" s="224"/>
      <c r="B2" s="224"/>
      <c r="C2" s="224"/>
      <c r="D2" s="224"/>
      <c r="E2" s="467" t="s">
        <v>102</v>
      </c>
      <c r="F2" s="467"/>
      <c r="G2" s="467"/>
      <c r="H2" s="467"/>
      <c r="I2"/>
    </row>
    <row r="3" spans="1:55" s="37" customFormat="1" ht="27" customHeight="1">
      <c r="A3" s="530" t="s">
        <v>126</v>
      </c>
      <c r="B3" s="530"/>
      <c r="C3" s="530"/>
      <c r="D3" s="530"/>
      <c r="E3" s="530"/>
      <c r="F3" s="530"/>
      <c r="G3" s="530"/>
      <c r="H3" s="530"/>
      <c r="I3"/>
      <c r="J3" s="40"/>
      <c r="K3"/>
      <c r="L3"/>
      <c r="M3"/>
      <c r="N3"/>
      <c r="O3"/>
      <c r="P3"/>
      <c r="Q3"/>
      <c r="S3"/>
      <c r="T3"/>
      <c r="U3"/>
      <c r="V3"/>
      <c r="W3"/>
      <c r="X3"/>
      <c r="Y3"/>
      <c r="AB3"/>
      <c r="AC3"/>
      <c r="AD3"/>
      <c r="AE3"/>
      <c r="AF3"/>
      <c r="AG3"/>
      <c r="AH3"/>
      <c r="AK3"/>
      <c r="AL3"/>
      <c r="AM3"/>
      <c r="AN3"/>
      <c r="AO3"/>
      <c r="AP3"/>
      <c r="AQ3"/>
    </row>
    <row r="4" spans="1:55" s="37" customFormat="1" ht="8.25" customHeight="1">
      <c r="A4" s="40"/>
      <c r="B4" s="411"/>
      <c r="C4" s="411"/>
      <c r="D4" s="411"/>
      <c r="E4" s="411"/>
      <c r="F4" s="411"/>
      <c r="G4" s="411"/>
      <c r="H4" s="411"/>
      <c r="I4" s="411"/>
      <c r="J4" s="412"/>
      <c r="K4" s="12"/>
      <c r="L4" s="12"/>
      <c r="M4" s="12"/>
      <c r="N4" s="12"/>
      <c r="O4" s="12"/>
      <c r="P4" s="12"/>
      <c r="Q4" s="12"/>
    </row>
    <row r="5" spans="1:55" ht="15" customHeight="1" thickBo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54" t="s">
        <v>38</v>
      </c>
      <c r="AB5" s="54"/>
      <c r="AC5" s="54"/>
      <c r="AD5" s="54"/>
      <c r="AE5" s="54"/>
      <c r="AF5" s="54"/>
      <c r="AG5" s="54"/>
      <c r="AJ5" s="2" t="s">
        <v>103</v>
      </c>
      <c r="AO5" s="2"/>
    </row>
    <row r="6" spans="1:55">
      <c r="A6" s="100" t="s">
        <v>0</v>
      </c>
      <c r="B6" s="101" t="s">
        <v>1</v>
      </c>
      <c r="C6" s="101" t="s">
        <v>2</v>
      </c>
      <c r="D6" s="101" t="s">
        <v>3</v>
      </c>
      <c r="E6" s="101" t="s">
        <v>4</v>
      </c>
      <c r="F6" s="101" t="s">
        <v>5</v>
      </c>
      <c r="G6" s="101" t="s">
        <v>6</v>
      </c>
      <c r="H6" s="102" t="s">
        <v>7</v>
      </c>
      <c r="J6" s="413" t="s">
        <v>0</v>
      </c>
      <c r="K6" s="414" t="s">
        <v>1</v>
      </c>
      <c r="L6" s="414" t="s">
        <v>2</v>
      </c>
      <c r="M6" s="414" t="s">
        <v>3</v>
      </c>
      <c r="N6" s="414" t="s">
        <v>4</v>
      </c>
      <c r="O6" s="414" t="s">
        <v>5</v>
      </c>
      <c r="P6" s="414" t="s">
        <v>6</v>
      </c>
      <c r="Q6" s="415" t="s">
        <v>7</v>
      </c>
      <c r="R6" s="441" t="s">
        <v>0</v>
      </c>
      <c r="S6" s="414" t="s">
        <v>1</v>
      </c>
      <c r="T6" s="414" t="s">
        <v>2</v>
      </c>
      <c r="U6" s="414" t="s">
        <v>3</v>
      </c>
      <c r="V6" s="414" t="s">
        <v>4</v>
      </c>
      <c r="W6" s="414" t="s">
        <v>5</v>
      </c>
      <c r="X6" s="414" t="s">
        <v>6</v>
      </c>
      <c r="Y6" s="415" t="s">
        <v>7</v>
      </c>
      <c r="Z6" s="109"/>
      <c r="AA6" s="413" t="s">
        <v>0</v>
      </c>
      <c r="AB6" s="414" t="s">
        <v>1</v>
      </c>
      <c r="AC6" s="414" t="s">
        <v>2</v>
      </c>
      <c r="AD6" s="414" t="s">
        <v>3</v>
      </c>
      <c r="AE6" s="414" t="s">
        <v>4</v>
      </c>
      <c r="AF6" s="414" t="s">
        <v>5</v>
      </c>
      <c r="AG6" s="414" t="s">
        <v>6</v>
      </c>
      <c r="AH6" s="415" t="s">
        <v>7</v>
      </c>
      <c r="AI6" s="109"/>
      <c r="AJ6" s="413" t="s">
        <v>0</v>
      </c>
      <c r="AK6" s="414" t="s">
        <v>1</v>
      </c>
      <c r="AL6" s="414" t="s">
        <v>2</v>
      </c>
      <c r="AM6" s="414" t="s">
        <v>3</v>
      </c>
      <c r="AN6" s="414" t="s">
        <v>4</v>
      </c>
      <c r="AO6" s="414" t="s">
        <v>5</v>
      </c>
      <c r="AP6" s="414" t="s">
        <v>6</v>
      </c>
      <c r="AQ6" s="415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148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104" t="s">
        <v>9</v>
      </c>
      <c r="J7" s="416"/>
      <c r="K7" s="98" t="s">
        <v>8</v>
      </c>
      <c r="L7" s="98" t="s">
        <v>9</v>
      </c>
      <c r="M7" s="98" t="s">
        <v>10</v>
      </c>
      <c r="N7" s="98" t="s">
        <v>9</v>
      </c>
      <c r="O7" s="98" t="s">
        <v>9</v>
      </c>
      <c r="P7" s="98" t="s">
        <v>9</v>
      </c>
      <c r="Q7" s="95" t="s">
        <v>9</v>
      </c>
      <c r="R7" s="442"/>
      <c r="S7" s="98" t="s">
        <v>8</v>
      </c>
      <c r="T7" s="98" t="s">
        <v>9</v>
      </c>
      <c r="U7" s="98" t="s">
        <v>10</v>
      </c>
      <c r="V7" s="98" t="s">
        <v>9</v>
      </c>
      <c r="W7" s="98" t="s">
        <v>9</v>
      </c>
      <c r="X7" s="98" t="s">
        <v>9</v>
      </c>
      <c r="Y7" s="95" t="s">
        <v>9</v>
      </c>
      <c r="Z7" s="109"/>
      <c r="AA7" s="416"/>
      <c r="AB7" s="98" t="s">
        <v>8</v>
      </c>
      <c r="AC7" s="98" t="s">
        <v>9</v>
      </c>
      <c r="AD7" s="98" t="s">
        <v>10</v>
      </c>
      <c r="AE7" s="98" t="s">
        <v>9</v>
      </c>
      <c r="AF7" s="98" t="s">
        <v>9</v>
      </c>
      <c r="AG7" s="98" t="s">
        <v>9</v>
      </c>
      <c r="AH7" s="95" t="s">
        <v>9</v>
      </c>
      <c r="AI7" s="109"/>
      <c r="AJ7" s="416"/>
      <c r="AK7" s="98" t="s">
        <v>8</v>
      </c>
      <c r="AL7" s="98" t="s">
        <v>9</v>
      </c>
      <c r="AM7" s="98" t="s">
        <v>10</v>
      </c>
      <c r="AN7" s="98" t="s">
        <v>9</v>
      </c>
      <c r="AO7" s="98" t="s">
        <v>9</v>
      </c>
      <c r="AP7" s="98" t="s">
        <v>9</v>
      </c>
      <c r="AQ7" s="95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15" customFormat="1">
      <c r="A8" s="515" t="s">
        <v>17</v>
      </c>
      <c r="B8" s="470"/>
      <c r="C8" s="470"/>
      <c r="D8" s="470"/>
      <c r="E8" s="470"/>
      <c r="F8" s="470"/>
      <c r="G8" s="470"/>
      <c r="H8" s="516"/>
      <c r="I8"/>
      <c r="J8" s="528" t="s">
        <v>17</v>
      </c>
      <c r="K8" s="480"/>
      <c r="L8" s="480"/>
      <c r="M8" s="480"/>
      <c r="N8" s="480"/>
      <c r="O8" s="480"/>
      <c r="P8" s="480"/>
      <c r="Q8" s="529"/>
      <c r="R8" s="471" t="s">
        <v>17</v>
      </c>
      <c r="S8" s="480"/>
      <c r="T8" s="480"/>
      <c r="U8" s="480"/>
      <c r="V8" s="480"/>
      <c r="W8" s="480"/>
      <c r="X8" s="480"/>
      <c r="Y8" s="529"/>
      <c r="Z8" s="186"/>
      <c r="AA8" s="528" t="s">
        <v>17</v>
      </c>
      <c r="AB8" s="480"/>
      <c r="AC8" s="480"/>
      <c r="AD8" s="480"/>
      <c r="AE8" s="480"/>
      <c r="AF8" s="480"/>
      <c r="AG8" s="480"/>
      <c r="AH8" s="529"/>
      <c r="AI8" s="186"/>
      <c r="AJ8" s="528" t="s">
        <v>17</v>
      </c>
      <c r="AK8" s="480"/>
      <c r="AL8" s="480"/>
      <c r="AM8" s="480"/>
      <c r="AN8" s="480"/>
      <c r="AO8" s="480"/>
      <c r="AP8" s="480"/>
      <c r="AQ8" s="529"/>
    </row>
    <row r="9" spans="1:55" s="115" customFormat="1">
      <c r="A9" s="220" t="s">
        <v>18</v>
      </c>
      <c r="B9" s="33">
        <f>B13+B20</f>
        <v>807.3</v>
      </c>
      <c r="C9" s="33">
        <f>C13+C20</f>
        <v>51672</v>
      </c>
      <c r="D9" s="33">
        <f t="shared" ref="C9:H10" si="0">D13+D20</f>
        <v>44863</v>
      </c>
      <c r="E9" s="33">
        <f t="shared" si="0"/>
        <v>6183</v>
      </c>
      <c r="F9" s="33">
        <f t="shared" si="0"/>
        <v>12109</v>
      </c>
      <c r="G9" s="33">
        <f t="shared" si="0"/>
        <v>2769</v>
      </c>
      <c r="H9" s="365">
        <f t="shared" si="0"/>
        <v>23802</v>
      </c>
      <c r="I9"/>
      <c r="J9" s="220" t="s">
        <v>18</v>
      </c>
      <c r="K9" s="33">
        <f>K13+K20</f>
        <v>174.8</v>
      </c>
      <c r="L9" s="33">
        <f t="shared" ref="L9:Q10" si="1">L13+L20</f>
        <v>6954</v>
      </c>
      <c r="M9" s="33">
        <f t="shared" si="1"/>
        <v>5790</v>
      </c>
      <c r="N9" s="33">
        <f t="shared" si="1"/>
        <v>662</v>
      </c>
      <c r="O9" s="33">
        <f t="shared" si="1"/>
        <v>1602</v>
      </c>
      <c r="P9" s="33">
        <f t="shared" si="1"/>
        <v>347</v>
      </c>
      <c r="Q9" s="365">
        <f t="shared" si="1"/>
        <v>3179</v>
      </c>
      <c r="R9" s="63" t="s">
        <v>18</v>
      </c>
      <c r="S9" s="33">
        <f>S13+S20</f>
        <v>632.5</v>
      </c>
      <c r="T9" s="33">
        <f t="shared" ref="T9:Y10" si="2">T13+T20</f>
        <v>44718</v>
      </c>
      <c r="U9" s="33">
        <f t="shared" si="2"/>
        <v>39073</v>
      </c>
      <c r="V9" s="33">
        <f t="shared" si="2"/>
        <v>5521</v>
      </c>
      <c r="W9" s="33">
        <f t="shared" si="2"/>
        <v>10507</v>
      </c>
      <c r="X9" s="33">
        <f t="shared" si="2"/>
        <v>2422</v>
      </c>
      <c r="Y9" s="365">
        <f t="shared" si="2"/>
        <v>20623</v>
      </c>
      <c r="Z9" s="110"/>
      <c r="AA9" s="220" t="s">
        <v>18</v>
      </c>
      <c r="AB9" s="33">
        <f>AB13+AB20</f>
        <v>42.9</v>
      </c>
      <c r="AC9" s="33">
        <f t="shared" ref="AC9:AH10" si="3">AC13+AC20</f>
        <v>5654</v>
      </c>
      <c r="AD9" s="33">
        <f t="shared" si="3"/>
        <v>4785</v>
      </c>
      <c r="AE9" s="33">
        <f t="shared" si="3"/>
        <v>2370</v>
      </c>
      <c r="AF9" s="33">
        <f t="shared" si="3"/>
        <v>1039</v>
      </c>
      <c r="AG9" s="33">
        <f t="shared" si="3"/>
        <v>157</v>
      </c>
      <c r="AH9" s="365">
        <f t="shared" si="3"/>
        <v>1219</v>
      </c>
      <c r="AI9" s="21"/>
      <c r="AJ9" s="220" t="s">
        <v>18</v>
      </c>
      <c r="AK9" s="33">
        <f>AK13+AK20</f>
        <v>0</v>
      </c>
      <c r="AL9" s="33">
        <f t="shared" ref="AL9:AQ10" si="4">AL13+AL20</f>
        <v>0</v>
      </c>
      <c r="AM9" s="33">
        <f t="shared" si="4"/>
        <v>0</v>
      </c>
      <c r="AN9" s="33">
        <f t="shared" si="4"/>
        <v>0</v>
      </c>
      <c r="AO9" s="33">
        <f t="shared" si="4"/>
        <v>0</v>
      </c>
      <c r="AP9" s="33">
        <f t="shared" si="4"/>
        <v>0</v>
      </c>
      <c r="AQ9" s="365">
        <f t="shared" si="4"/>
        <v>0</v>
      </c>
    </row>
    <row r="10" spans="1:55" s="115" customFormat="1">
      <c r="A10" s="220" t="s">
        <v>19</v>
      </c>
      <c r="B10" s="177">
        <f>B14+B21</f>
        <v>788.59999999999991</v>
      </c>
      <c r="C10" s="177">
        <f t="shared" si="0"/>
        <v>45604</v>
      </c>
      <c r="D10" s="177">
        <f t="shared" si="0"/>
        <v>43252</v>
      </c>
      <c r="E10" s="177">
        <f t="shared" si="0"/>
        <v>6003</v>
      </c>
      <c r="F10" s="177">
        <f t="shared" si="0"/>
        <v>12230</v>
      </c>
      <c r="G10" s="177">
        <f t="shared" si="0"/>
        <v>2559</v>
      </c>
      <c r="H10" s="386">
        <f t="shared" si="0"/>
        <v>22460</v>
      </c>
      <c r="I10"/>
      <c r="J10" s="220" t="s">
        <v>19</v>
      </c>
      <c r="K10" s="177">
        <f>K14+K21</f>
        <v>170.2</v>
      </c>
      <c r="L10" s="177">
        <f t="shared" si="1"/>
        <v>5209</v>
      </c>
      <c r="M10" s="177">
        <f t="shared" si="1"/>
        <v>4948</v>
      </c>
      <c r="N10" s="177">
        <f t="shared" si="1"/>
        <v>810</v>
      </c>
      <c r="O10" s="177">
        <f t="shared" si="1"/>
        <v>820</v>
      </c>
      <c r="P10" s="177">
        <f t="shared" si="1"/>
        <v>182</v>
      </c>
      <c r="Q10" s="386">
        <f t="shared" si="1"/>
        <v>3136</v>
      </c>
      <c r="R10" s="443" t="s">
        <v>19</v>
      </c>
      <c r="S10" s="177">
        <f>S14+S21</f>
        <v>591.39999999999986</v>
      </c>
      <c r="T10" s="177">
        <f t="shared" si="2"/>
        <v>39598</v>
      </c>
      <c r="U10" s="177">
        <f t="shared" si="2"/>
        <v>37519</v>
      </c>
      <c r="V10" s="177">
        <f t="shared" si="2"/>
        <v>5010</v>
      </c>
      <c r="W10" s="177">
        <f t="shared" si="2"/>
        <v>11379</v>
      </c>
      <c r="X10" s="177">
        <f t="shared" si="2"/>
        <v>2377</v>
      </c>
      <c r="Y10" s="386">
        <f t="shared" si="2"/>
        <v>18753</v>
      </c>
      <c r="Z10" s="418"/>
      <c r="AA10" s="417" t="s">
        <v>19</v>
      </c>
      <c r="AB10" s="177">
        <f>AB14+AB21</f>
        <v>96.8</v>
      </c>
      <c r="AC10" s="177">
        <f t="shared" si="3"/>
        <v>7497</v>
      </c>
      <c r="AD10" s="177">
        <f t="shared" si="3"/>
        <v>6966</v>
      </c>
      <c r="AE10" s="177">
        <f t="shared" si="3"/>
        <v>3044</v>
      </c>
      <c r="AF10" s="177">
        <f t="shared" si="3"/>
        <v>1116</v>
      </c>
      <c r="AG10" s="177">
        <f t="shared" si="3"/>
        <v>327</v>
      </c>
      <c r="AH10" s="386">
        <f t="shared" si="3"/>
        <v>2479</v>
      </c>
      <c r="AI10" s="21"/>
      <c r="AJ10" s="417" t="s">
        <v>19</v>
      </c>
      <c r="AK10" s="177">
        <f>AK14+AK21</f>
        <v>27</v>
      </c>
      <c r="AL10" s="177">
        <f t="shared" si="4"/>
        <v>797</v>
      </c>
      <c r="AM10" s="177">
        <f t="shared" si="4"/>
        <v>785</v>
      </c>
      <c r="AN10" s="177">
        <f t="shared" si="4"/>
        <v>183</v>
      </c>
      <c r="AO10" s="177">
        <f t="shared" si="4"/>
        <v>31</v>
      </c>
      <c r="AP10" s="177">
        <f t="shared" si="4"/>
        <v>0</v>
      </c>
      <c r="AQ10" s="386">
        <f t="shared" si="4"/>
        <v>571</v>
      </c>
    </row>
    <row r="11" spans="1:55" s="115" customFormat="1">
      <c r="A11" s="220" t="s">
        <v>20</v>
      </c>
      <c r="B11" s="26">
        <f t="shared" ref="B11:H11" si="5">B10/B9*100</f>
        <v>97.68363681407159</v>
      </c>
      <c r="C11" s="26">
        <f t="shared" si="5"/>
        <v>88.256696082984988</v>
      </c>
      <c r="D11" s="26">
        <f t="shared" si="5"/>
        <v>96.409067605822173</v>
      </c>
      <c r="E11" s="26">
        <f t="shared" si="5"/>
        <v>97.088791848617177</v>
      </c>
      <c r="F11" s="26">
        <f t="shared" si="5"/>
        <v>100.9992567511768</v>
      </c>
      <c r="G11" s="26">
        <f t="shared" si="5"/>
        <v>92.416034669555785</v>
      </c>
      <c r="H11" s="77">
        <f t="shared" si="5"/>
        <v>94.361818334593721</v>
      </c>
      <c r="I11"/>
      <c r="J11" s="220" t="s">
        <v>20</v>
      </c>
      <c r="K11" s="26">
        <f>K10/K9*100</f>
        <v>97.368421052631575</v>
      </c>
      <c r="L11" s="26">
        <f>L10/L9*100</f>
        <v>74.906528616623518</v>
      </c>
      <c r="M11" s="26">
        <f>M10/M9*100</f>
        <v>85.457685664939547</v>
      </c>
      <c r="N11" s="26">
        <v>0</v>
      </c>
      <c r="O11" s="26">
        <f>O10/O9*100</f>
        <v>51.186017478152316</v>
      </c>
      <c r="P11" s="26">
        <f>P10/P9*100</f>
        <v>52.449567723342938</v>
      </c>
      <c r="Q11" s="77">
        <f>Q10/Q9*100</f>
        <v>98.647373387857812</v>
      </c>
      <c r="R11" s="63" t="s">
        <v>20</v>
      </c>
      <c r="S11" s="26">
        <f>S10/S9*100</f>
        <v>93.501976284584956</v>
      </c>
      <c r="T11" s="26">
        <f>T10/T9*100</f>
        <v>88.550471845789176</v>
      </c>
      <c r="U11" s="26">
        <f>U10/U9*100</f>
        <v>96.022829063547718</v>
      </c>
      <c r="V11" s="26">
        <v>0</v>
      </c>
      <c r="W11" s="26">
        <f>W10/W9*100</f>
        <v>108.29922908537166</v>
      </c>
      <c r="X11" s="26">
        <f>X10/X9*100</f>
        <v>98.142031379025596</v>
      </c>
      <c r="Y11" s="77">
        <f>Y10/Y9*100</f>
        <v>90.932454056150902</v>
      </c>
      <c r="Z11" s="113"/>
      <c r="AA11" s="220" t="s">
        <v>20</v>
      </c>
      <c r="AB11" s="26">
        <f>AB10/AB9*100</f>
        <v>225.64102564102564</v>
      </c>
      <c r="AC11" s="26">
        <f>AC10/AC9*100</f>
        <v>132.59639193491333</v>
      </c>
      <c r="AD11" s="26">
        <f>AD10/AD9*100</f>
        <v>145.57993730407523</v>
      </c>
      <c r="AE11" s="26">
        <v>0</v>
      </c>
      <c r="AF11" s="26">
        <f>AF10/AF9*100</f>
        <v>107.41097208854669</v>
      </c>
      <c r="AG11" s="26">
        <f>AG10/AG9*100</f>
        <v>208.28025477707007</v>
      </c>
      <c r="AH11" s="77">
        <f>AH10/AH9*100</f>
        <v>203.36341263330598</v>
      </c>
      <c r="AI11" s="21"/>
      <c r="AJ11" s="220" t="s">
        <v>20</v>
      </c>
      <c r="AK11" s="26" t="e">
        <f>AK10/AK9*100</f>
        <v>#DIV/0!</v>
      </c>
      <c r="AL11" s="26" t="e">
        <f>AL10/AL9*100</f>
        <v>#DIV/0!</v>
      </c>
      <c r="AM11" s="26" t="e">
        <f>AM10/AM9*100</f>
        <v>#DIV/0!</v>
      </c>
      <c r="AN11" s="26">
        <v>0</v>
      </c>
      <c r="AO11" s="26" t="e">
        <f>AO10/AO9*100</f>
        <v>#DIV/0!</v>
      </c>
      <c r="AP11" s="26" t="e">
        <f>AP10/AP9*100</f>
        <v>#DIV/0!</v>
      </c>
      <c r="AQ11" s="77" t="e">
        <f>AQ10/AQ9*100</f>
        <v>#DIV/0!</v>
      </c>
    </row>
    <row r="12" spans="1:55" s="201" customFormat="1" ht="12.75" customHeight="1">
      <c r="A12" s="517" t="s">
        <v>11</v>
      </c>
      <c r="B12" s="462"/>
      <c r="C12" s="462"/>
      <c r="D12" s="462"/>
      <c r="E12" s="462"/>
      <c r="F12" s="462"/>
      <c r="G12" s="462"/>
      <c r="H12" s="519"/>
      <c r="I12"/>
      <c r="J12" s="531" t="s">
        <v>11</v>
      </c>
      <c r="K12" s="474"/>
      <c r="L12" s="474"/>
      <c r="M12" s="474"/>
      <c r="N12" s="474"/>
      <c r="O12" s="474"/>
      <c r="P12" s="474"/>
      <c r="Q12" s="532"/>
      <c r="R12" s="463" t="s">
        <v>11</v>
      </c>
      <c r="S12" s="474"/>
      <c r="T12" s="474"/>
      <c r="U12" s="474"/>
      <c r="V12" s="474"/>
      <c r="W12" s="474"/>
      <c r="X12" s="474"/>
      <c r="Y12" s="532"/>
      <c r="Z12" s="296"/>
      <c r="AA12" s="531" t="s">
        <v>11</v>
      </c>
      <c r="AB12" s="474"/>
      <c r="AC12" s="474"/>
      <c r="AD12" s="474"/>
      <c r="AE12" s="474"/>
      <c r="AF12" s="474"/>
      <c r="AG12" s="474"/>
      <c r="AH12" s="532"/>
      <c r="AI12" s="21"/>
      <c r="AJ12" s="531" t="s">
        <v>11</v>
      </c>
      <c r="AK12" s="474"/>
      <c r="AL12" s="474"/>
      <c r="AM12" s="474"/>
      <c r="AN12" s="474"/>
      <c r="AO12" s="474"/>
      <c r="AP12" s="474"/>
      <c r="AQ12" s="532"/>
    </row>
    <row r="13" spans="1:55" s="201" customFormat="1">
      <c r="A13" s="245" t="s">
        <v>18</v>
      </c>
      <c r="B13" s="6">
        <f>K13+S13+AK13</f>
        <v>9.3000000000000007</v>
      </c>
      <c r="C13" s="6">
        <f>L13+T13+AL13</f>
        <v>471</v>
      </c>
      <c r="D13" s="6">
        <f>E13+F13+G13+H13</f>
        <v>309</v>
      </c>
      <c r="E13" s="6">
        <f t="shared" ref="E13:H14" si="6">N13+V13+AN13</f>
        <v>40</v>
      </c>
      <c r="F13" s="6">
        <f t="shared" si="6"/>
        <v>185</v>
      </c>
      <c r="G13" s="6">
        <f t="shared" si="6"/>
        <v>29</v>
      </c>
      <c r="H13" s="76">
        <f t="shared" si="6"/>
        <v>55</v>
      </c>
      <c r="I13"/>
      <c r="J13" s="366" t="s">
        <v>18</v>
      </c>
      <c r="K13" s="93">
        <v>6.9</v>
      </c>
      <c r="L13" s="379">
        <v>330</v>
      </c>
      <c r="M13" s="93">
        <f>N13+O13+P13+Q13</f>
        <v>216</v>
      </c>
      <c r="N13" s="379">
        <v>26</v>
      </c>
      <c r="O13" s="379">
        <v>129</v>
      </c>
      <c r="P13" s="379">
        <v>22</v>
      </c>
      <c r="Q13" s="367">
        <v>39</v>
      </c>
      <c r="R13" s="444" t="s">
        <v>18</v>
      </c>
      <c r="S13" s="93">
        <v>2.4</v>
      </c>
      <c r="T13" s="93">
        <v>141</v>
      </c>
      <c r="U13" s="93">
        <f>V13+W13+X13+Y13</f>
        <v>93</v>
      </c>
      <c r="V13" s="93">
        <v>14</v>
      </c>
      <c r="W13" s="93">
        <v>56</v>
      </c>
      <c r="X13" s="93">
        <v>7</v>
      </c>
      <c r="Y13" s="368">
        <v>16</v>
      </c>
      <c r="Z13" s="1"/>
      <c r="AA13" s="366" t="s">
        <v>18</v>
      </c>
      <c r="AB13" s="93">
        <v>2.4</v>
      </c>
      <c r="AC13" s="93">
        <v>141</v>
      </c>
      <c r="AD13" s="93">
        <f>AE13+AF13+AG13+AH13</f>
        <v>93</v>
      </c>
      <c r="AE13" s="93">
        <v>14</v>
      </c>
      <c r="AF13" s="93">
        <v>56</v>
      </c>
      <c r="AG13" s="93">
        <v>7</v>
      </c>
      <c r="AH13" s="368">
        <v>16</v>
      </c>
      <c r="AI13" s="21"/>
      <c r="AJ13" s="366" t="s">
        <v>18</v>
      </c>
      <c r="AK13" s="93"/>
      <c r="AL13" s="93"/>
      <c r="AM13" s="93">
        <f>AN13+AO13+AP13+AQ13</f>
        <v>0</v>
      </c>
      <c r="AN13" s="93"/>
      <c r="AO13" s="93"/>
      <c r="AP13" s="93"/>
      <c r="AQ13" s="368"/>
    </row>
    <row r="14" spans="1:55" s="201" customFormat="1">
      <c r="A14" s="245" t="s">
        <v>19</v>
      </c>
      <c r="B14" s="385">
        <f>K14+S14+AK14</f>
        <v>16.55</v>
      </c>
      <c r="C14" s="385">
        <f>L14+T14+AL14</f>
        <v>412</v>
      </c>
      <c r="D14" s="385">
        <f>E14+F14+G14+H14</f>
        <v>381</v>
      </c>
      <c r="E14" s="385">
        <f t="shared" si="6"/>
        <v>65</v>
      </c>
      <c r="F14" s="385">
        <f t="shared" si="6"/>
        <v>51</v>
      </c>
      <c r="G14" s="385">
        <f t="shared" si="6"/>
        <v>2</v>
      </c>
      <c r="H14" s="419">
        <f t="shared" si="6"/>
        <v>263</v>
      </c>
      <c r="I14" s="53"/>
      <c r="J14" s="420" t="s">
        <v>19</v>
      </c>
      <c r="K14" s="445">
        <f>'[2]ГП-преходни 24 не отдадени '!K14+'[2]ГП-2025 15.10.2024'!K14</f>
        <v>14.75</v>
      </c>
      <c r="L14" s="445">
        <f>'[2]ГП-преходни 24 не отдадени '!L14+'[2]ГП-2025 15.10.2024'!L14</f>
        <v>346</v>
      </c>
      <c r="M14" s="421">
        <f>N14+O14+P14+Q14</f>
        <v>322</v>
      </c>
      <c r="N14" s="445">
        <f>'[2]ГП-преходни 24 не отдадени '!N14+'[2]ГП-2025 15.10.2024'!N14</f>
        <v>48</v>
      </c>
      <c r="O14" s="445">
        <f>'[2]ГП-преходни 24 не отдадени '!O14+'[2]ГП-2025 15.10.2024'!O14</f>
        <v>42</v>
      </c>
      <c r="P14" s="445">
        <f>'[2]ГП-преходни 24 не отдадени '!P14+'[2]ГП-2025 15.10.2024'!P14</f>
        <v>2</v>
      </c>
      <c r="Q14" s="445">
        <f>'[2]ГП-преходни 24 не отдадени '!Q14+'[2]ГП-2025 15.10.2024'!Q14</f>
        <v>230</v>
      </c>
      <c r="R14" s="428" t="s">
        <v>19</v>
      </c>
      <c r="S14" s="445">
        <f>'[2]ГП-преходни 24 не отдадени '!S14+'[2]ГП-2025 15.10.2024'!S14</f>
        <v>1.8</v>
      </c>
      <c r="T14" s="445">
        <f>'[2]ГП-преходни 24 не отдадени '!T14+'[2]ГП-2025 15.10.2024'!T14</f>
        <v>66</v>
      </c>
      <c r="U14" s="421">
        <f>V14+W14+X14+Y14</f>
        <v>59</v>
      </c>
      <c r="V14" s="445">
        <f>'[2]ГП-преходни 24 не отдадени '!V14+'[2]ГП-2025 15.10.2024'!V14</f>
        <v>17</v>
      </c>
      <c r="W14" s="445">
        <f>'[2]ГП-преходни 24 не отдадени '!W14+'[2]ГП-2025 15.10.2024'!W14</f>
        <v>9</v>
      </c>
      <c r="X14" s="445">
        <f>'[2]ГП-преходни 24 не отдадени '!X14+'[2]ГП-2025 15.10.2024'!X14</f>
        <v>0</v>
      </c>
      <c r="Y14" s="445">
        <f>'[2]ГП-преходни 24 не отдадени '!Y14+'[2]ГП-2025 15.10.2024'!Y14</f>
        <v>33</v>
      </c>
      <c r="Z14" s="422"/>
      <c r="AA14" s="420" t="s">
        <v>19</v>
      </c>
      <c r="AB14" s="445">
        <f>'[2]ГП-преходни 24 не отдадени '!AB14+'[2]ГП-2025 15.10.2024'!AB14</f>
        <v>1.8</v>
      </c>
      <c r="AC14" s="445">
        <f>'[2]ГП-преходни 24 не отдадени '!AC14+'[2]ГП-2025 15.10.2024'!AC14</f>
        <v>66</v>
      </c>
      <c r="AD14" s="421">
        <f>AE14+AF14+AG14+AH14</f>
        <v>59</v>
      </c>
      <c r="AE14" s="445">
        <f>'[2]ГП-преходни 24 не отдадени '!AE14+'[2]ГП-2025 15.10.2024'!AE14</f>
        <v>17</v>
      </c>
      <c r="AF14" s="445">
        <f>'[2]ГП-преходни 24 не отдадени '!AF14+'[2]ГП-2025 15.10.2024'!AF14</f>
        <v>9</v>
      </c>
      <c r="AG14" s="445">
        <f>'[2]ГП-преходни 24 не отдадени '!AG14+'[2]ГП-2025 15.10.2024'!AG14</f>
        <v>0</v>
      </c>
      <c r="AH14" s="445">
        <f>'[2]ГП-преходни 24 не отдадени '!AH14+'[2]ГП-2025 15.10.2024'!AH14</f>
        <v>33</v>
      </c>
      <c r="AI14" s="21"/>
      <c r="AJ14" s="420" t="s">
        <v>19</v>
      </c>
      <c r="AK14" s="445">
        <f>'[2]ГП-преходни 24 не отдадени '!AK14+'[2]ГП-2025 15.10.2024'!AK14</f>
        <v>0</v>
      </c>
      <c r="AL14" s="445">
        <f>'[2]ГП-преходни 24 не отдадени '!AL14+'[2]ГП-2025 15.10.2024'!AL14</f>
        <v>0</v>
      </c>
      <c r="AM14" s="421">
        <f>AN14+AO14+AP14+AQ14</f>
        <v>0</v>
      </c>
      <c r="AN14" s="445">
        <f>'[2]ГП-преходни 24 не отдадени '!AN14+'[2]ГП-2025 15.10.2024'!AN14</f>
        <v>0</v>
      </c>
      <c r="AO14" s="445">
        <f>'[2]ГП-преходни 24 не отдадени '!AO14+'[2]ГП-2025 15.10.2024'!AO14</f>
        <v>0</v>
      </c>
      <c r="AP14" s="445">
        <f>'[2]ГП-преходни 24 не отдадени '!AP14+'[2]ГП-2025 15.10.2024'!AP14</f>
        <v>0</v>
      </c>
      <c r="AQ14" s="445">
        <f>'[2]ГП-преходни 24 не отдадени '!AQ14+'[2]ГП-2025 15.10.2024'!AQ14</f>
        <v>0</v>
      </c>
    </row>
    <row r="15" spans="1:55" s="201" customFormat="1">
      <c r="A15" s="245" t="s">
        <v>20</v>
      </c>
      <c r="B15" s="26">
        <f t="shared" ref="B15:H15" si="7">B14/B13*100</f>
        <v>177.95698924731184</v>
      </c>
      <c r="C15" s="26">
        <f t="shared" si="7"/>
        <v>87.473460721868364</v>
      </c>
      <c r="D15" s="26">
        <f t="shared" si="7"/>
        <v>123.3009708737864</v>
      </c>
      <c r="E15" s="26">
        <f t="shared" si="7"/>
        <v>162.5</v>
      </c>
      <c r="F15" s="26">
        <f t="shared" si="7"/>
        <v>27.567567567567568</v>
      </c>
      <c r="G15" s="26">
        <f t="shared" si="7"/>
        <v>6.8965517241379306</v>
      </c>
      <c r="H15" s="77">
        <f t="shared" si="7"/>
        <v>478.18181818181824</v>
      </c>
      <c r="I15"/>
      <c r="J15" s="366" t="s">
        <v>20</v>
      </c>
      <c r="K15" s="26">
        <f t="shared" ref="K15:Q15" si="8">K14/K13*100</f>
        <v>213.76811594202897</v>
      </c>
      <c r="L15" s="26">
        <f t="shared" si="8"/>
        <v>104.84848484848486</v>
      </c>
      <c r="M15" s="26">
        <f t="shared" si="8"/>
        <v>149.07407407407408</v>
      </c>
      <c r="N15" s="26">
        <f t="shared" si="8"/>
        <v>184.61538461538461</v>
      </c>
      <c r="O15" s="26">
        <f t="shared" si="8"/>
        <v>32.558139534883722</v>
      </c>
      <c r="P15" s="26">
        <f t="shared" si="8"/>
        <v>9.0909090909090917</v>
      </c>
      <c r="Q15" s="77">
        <f t="shared" si="8"/>
        <v>589.74358974358984</v>
      </c>
      <c r="R15" s="444" t="s">
        <v>20</v>
      </c>
      <c r="S15" s="26">
        <f t="shared" ref="S15:Y15" si="9">S14/S13*100</f>
        <v>75</v>
      </c>
      <c r="T15" s="26">
        <f t="shared" si="9"/>
        <v>46.808510638297875</v>
      </c>
      <c r="U15" s="26">
        <f t="shared" si="9"/>
        <v>63.44086021505376</v>
      </c>
      <c r="V15" s="26">
        <f t="shared" si="9"/>
        <v>121.42857142857142</v>
      </c>
      <c r="W15" s="26">
        <f t="shared" si="9"/>
        <v>16.071428571428573</v>
      </c>
      <c r="X15" s="26">
        <f t="shared" si="9"/>
        <v>0</v>
      </c>
      <c r="Y15" s="77">
        <f t="shared" si="9"/>
        <v>206.25</v>
      </c>
      <c r="AA15" s="366" t="s">
        <v>20</v>
      </c>
      <c r="AB15" s="26">
        <f t="shared" ref="AB15:AH15" si="10">AB14/AB13*100</f>
        <v>75</v>
      </c>
      <c r="AC15" s="26">
        <f t="shared" si="10"/>
        <v>46.808510638297875</v>
      </c>
      <c r="AD15" s="26">
        <f t="shared" si="10"/>
        <v>63.44086021505376</v>
      </c>
      <c r="AE15" s="26">
        <f t="shared" si="10"/>
        <v>121.42857142857142</v>
      </c>
      <c r="AF15" s="26">
        <f t="shared" si="10"/>
        <v>16.071428571428573</v>
      </c>
      <c r="AG15" s="26">
        <f t="shared" si="10"/>
        <v>0</v>
      </c>
      <c r="AH15" s="77">
        <f t="shared" si="10"/>
        <v>206.25</v>
      </c>
      <c r="AI15" s="21"/>
      <c r="AJ15" s="366" t="s">
        <v>20</v>
      </c>
      <c r="AK15" s="26" t="e">
        <f t="shared" ref="AK15:AQ15" si="11">AK14/AK13*100</f>
        <v>#DIV/0!</v>
      </c>
      <c r="AL15" s="26" t="e">
        <f t="shared" si="11"/>
        <v>#DIV/0!</v>
      </c>
      <c r="AM15" s="26" t="e">
        <f t="shared" si="11"/>
        <v>#DIV/0!</v>
      </c>
      <c r="AN15" s="26" t="e">
        <f t="shared" si="11"/>
        <v>#DIV/0!</v>
      </c>
      <c r="AO15" s="26" t="e">
        <f t="shared" si="11"/>
        <v>#DIV/0!</v>
      </c>
      <c r="AP15" s="26" t="e">
        <f t="shared" si="11"/>
        <v>#DIV/0!</v>
      </c>
      <c r="AQ15" s="77" t="e">
        <f t="shared" si="11"/>
        <v>#DIV/0!</v>
      </c>
    </row>
    <row r="16" spans="1:55" s="201" customFormat="1" ht="14.4">
      <c r="A16" s="107" t="s">
        <v>13</v>
      </c>
      <c r="B16" s="6">
        <f t="shared" ref="B16:C18" si="12">K16+S16+AK16</f>
        <v>1.9</v>
      </c>
      <c r="C16" s="6">
        <f t="shared" si="12"/>
        <v>44</v>
      </c>
      <c r="D16" s="6">
        <f>E16+F16+G16+H16</f>
        <v>41</v>
      </c>
      <c r="E16" s="6">
        <f t="shared" ref="E16:H18" si="13">N16+V16+AN16</f>
        <v>3</v>
      </c>
      <c r="F16" s="6">
        <f t="shared" si="13"/>
        <v>11</v>
      </c>
      <c r="G16" s="6">
        <f t="shared" si="13"/>
        <v>1</v>
      </c>
      <c r="H16" s="76">
        <f t="shared" si="13"/>
        <v>26</v>
      </c>
      <c r="I16"/>
      <c r="J16" s="369" t="s">
        <v>13</v>
      </c>
      <c r="K16" s="447">
        <v>1.9</v>
      </c>
      <c r="L16" s="447">
        <v>44</v>
      </c>
      <c r="M16" s="93">
        <f>N16+O16+P16+Q16</f>
        <v>41</v>
      </c>
      <c r="N16" s="447">
        <v>3</v>
      </c>
      <c r="O16" s="447">
        <v>11</v>
      </c>
      <c r="P16" s="447">
        <v>1</v>
      </c>
      <c r="Q16" s="448">
        <v>26</v>
      </c>
      <c r="R16" s="449" t="s">
        <v>13</v>
      </c>
      <c r="S16" s="93"/>
      <c r="T16" s="93"/>
      <c r="U16" s="93">
        <f>V16+W16+X16+Y16</f>
        <v>0</v>
      </c>
      <c r="V16" s="93"/>
      <c r="W16" s="93"/>
      <c r="X16" s="93"/>
      <c r="Y16" s="368"/>
      <c r="AA16" s="369" t="s">
        <v>13</v>
      </c>
      <c r="AB16" s="93"/>
      <c r="AC16" s="93"/>
      <c r="AD16" s="93">
        <f>AE16+AF16+AG16+AH16</f>
        <v>0</v>
      </c>
      <c r="AE16" s="425"/>
      <c r="AF16" s="425"/>
      <c r="AG16" s="425"/>
      <c r="AH16" s="426"/>
      <c r="AI16" s="21"/>
      <c r="AJ16" s="369" t="s">
        <v>13</v>
      </c>
      <c r="AK16" s="93"/>
      <c r="AL16" s="93"/>
      <c r="AM16" s="93">
        <f>AN16+AO16+AP16+AQ16</f>
        <v>0</v>
      </c>
      <c r="AN16" s="93"/>
      <c r="AO16" s="93"/>
      <c r="AP16" s="93"/>
      <c r="AQ16" s="368"/>
    </row>
    <row r="17" spans="1:44" s="201" customFormat="1">
      <c r="A17" s="107" t="s">
        <v>14</v>
      </c>
      <c r="B17" s="6">
        <f t="shared" si="12"/>
        <v>0.6</v>
      </c>
      <c r="C17" s="6">
        <f t="shared" si="12"/>
        <v>17</v>
      </c>
      <c r="D17" s="6">
        <f>E17+F17+G17+H17</f>
        <v>17</v>
      </c>
      <c r="E17" s="6">
        <f t="shared" si="13"/>
        <v>1</v>
      </c>
      <c r="F17" s="6">
        <f t="shared" si="13"/>
        <v>0</v>
      </c>
      <c r="G17" s="6">
        <f t="shared" si="13"/>
        <v>0</v>
      </c>
      <c r="H17" s="76">
        <f t="shared" si="13"/>
        <v>16</v>
      </c>
      <c r="I17"/>
      <c r="J17" s="369" t="s">
        <v>14</v>
      </c>
      <c r="K17" s="445">
        <v>0.6</v>
      </c>
      <c r="L17" s="445">
        <v>17</v>
      </c>
      <c r="M17" s="93">
        <f>N17+O17+P17+Q17</f>
        <v>17</v>
      </c>
      <c r="N17" s="445">
        <v>1</v>
      </c>
      <c r="O17" s="445">
        <v>0</v>
      </c>
      <c r="P17" s="445">
        <v>0</v>
      </c>
      <c r="Q17" s="446">
        <v>16</v>
      </c>
      <c r="R17" s="449" t="s">
        <v>14</v>
      </c>
      <c r="S17" s="370"/>
      <c r="T17" s="175"/>
      <c r="U17" s="93">
        <f>V17+W17+X17+Y17</f>
        <v>0</v>
      </c>
      <c r="V17" s="175"/>
      <c r="W17" s="175"/>
      <c r="X17" s="175"/>
      <c r="Y17" s="371"/>
      <c r="AA17" s="369" t="s">
        <v>14</v>
      </c>
      <c r="AB17" s="370"/>
      <c r="AC17" s="175"/>
      <c r="AD17" s="93">
        <f>AE17+AF17+AG17+AH17</f>
        <v>0</v>
      </c>
      <c r="AE17" s="175"/>
      <c r="AF17" s="175"/>
      <c r="AG17" s="175"/>
      <c r="AH17" s="371"/>
      <c r="AI17" s="21"/>
      <c r="AJ17" s="369" t="s">
        <v>14</v>
      </c>
      <c r="AK17" s="370"/>
      <c r="AL17" s="175"/>
      <c r="AM17" s="93">
        <f>AN17+AO17+AP17+AQ17</f>
        <v>0</v>
      </c>
      <c r="AN17" s="175"/>
      <c r="AO17" s="175"/>
      <c r="AP17" s="175"/>
      <c r="AQ17" s="371"/>
    </row>
    <row r="18" spans="1:44" ht="14.4">
      <c r="A18" s="107" t="s">
        <v>15</v>
      </c>
      <c r="B18" s="6">
        <f t="shared" si="12"/>
        <v>0.05</v>
      </c>
      <c r="C18" s="6">
        <f t="shared" si="12"/>
        <v>3</v>
      </c>
      <c r="D18" s="6">
        <f>E18+F18+G18+H18</f>
        <v>3</v>
      </c>
      <c r="E18" s="6">
        <f t="shared" si="13"/>
        <v>0</v>
      </c>
      <c r="F18" s="6">
        <f t="shared" si="13"/>
        <v>0</v>
      </c>
      <c r="G18" s="6">
        <f t="shared" si="13"/>
        <v>0</v>
      </c>
      <c r="H18" s="76">
        <f t="shared" si="13"/>
        <v>3</v>
      </c>
      <c r="J18" s="369" t="s">
        <v>15</v>
      </c>
      <c r="K18" s="447">
        <v>0.05</v>
      </c>
      <c r="L18" s="447">
        <v>3</v>
      </c>
      <c r="M18" s="93">
        <f>N18+O18+P18+Q18</f>
        <v>3</v>
      </c>
      <c r="N18" s="447">
        <v>0</v>
      </c>
      <c r="O18" s="447">
        <v>0</v>
      </c>
      <c r="P18" s="447">
        <v>0</v>
      </c>
      <c r="Q18" s="448">
        <v>3</v>
      </c>
      <c r="R18" s="449" t="s">
        <v>15</v>
      </c>
      <c r="S18" s="93"/>
      <c r="T18" s="93"/>
      <c r="U18" s="93">
        <f>V18+W18+X18+Y18</f>
        <v>0</v>
      </c>
      <c r="V18" s="93"/>
      <c r="W18" s="93"/>
      <c r="X18" s="93"/>
      <c r="Y18" s="368"/>
      <c r="AA18" s="369" t="s">
        <v>15</v>
      </c>
      <c r="AB18" s="93"/>
      <c r="AC18" s="93"/>
      <c r="AD18" s="93">
        <f>AE18+AF18+AG18+AH18</f>
        <v>0</v>
      </c>
      <c r="AE18" s="93"/>
      <c r="AF18" s="93"/>
      <c r="AG18" s="93"/>
      <c r="AH18" s="368"/>
      <c r="AI18" s="21"/>
      <c r="AJ18" s="369" t="s">
        <v>15</v>
      </c>
      <c r="AK18" s="93"/>
      <c r="AL18" s="93"/>
      <c r="AM18" s="93">
        <f>AN18+AO18+AP18+AQ18</f>
        <v>0</v>
      </c>
      <c r="AN18" s="93"/>
      <c r="AO18" s="93"/>
      <c r="AP18" s="93"/>
      <c r="AQ18" s="368"/>
    </row>
    <row r="19" spans="1:44" ht="12.75" customHeight="1">
      <c r="A19" s="517" t="s">
        <v>16</v>
      </c>
      <c r="B19" s="462"/>
      <c r="C19" s="462"/>
      <c r="D19" s="462"/>
      <c r="E19" s="462"/>
      <c r="F19" s="462"/>
      <c r="G19" s="462"/>
      <c r="H19" s="519"/>
      <c r="J19" s="531" t="s">
        <v>16</v>
      </c>
      <c r="K19" s="474"/>
      <c r="L19" s="474"/>
      <c r="M19" s="474"/>
      <c r="N19" s="474"/>
      <c r="O19" s="474"/>
      <c r="P19" s="474"/>
      <c r="Q19" s="532"/>
      <c r="R19" s="463" t="s">
        <v>16</v>
      </c>
      <c r="S19" s="474"/>
      <c r="T19" s="474"/>
      <c r="U19" s="474"/>
      <c r="V19" s="474"/>
      <c r="W19" s="474"/>
      <c r="X19" s="474"/>
      <c r="Y19" s="532"/>
      <c r="AA19" s="531" t="s">
        <v>16</v>
      </c>
      <c r="AB19" s="474"/>
      <c r="AC19" s="474"/>
      <c r="AD19" s="474"/>
      <c r="AE19" s="474"/>
      <c r="AF19" s="474"/>
      <c r="AG19" s="474"/>
      <c r="AH19" s="532"/>
      <c r="AI19" s="21"/>
      <c r="AJ19" s="531" t="s">
        <v>16</v>
      </c>
      <c r="AK19" s="474"/>
      <c r="AL19" s="474"/>
      <c r="AM19" s="474"/>
      <c r="AN19" s="474"/>
      <c r="AO19" s="474"/>
      <c r="AP19" s="474"/>
      <c r="AQ19" s="532"/>
    </row>
    <row r="20" spans="1:44">
      <c r="A20" s="245" t="s">
        <v>18</v>
      </c>
      <c r="B20" s="6">
        <f>B23+B26+B29+B32+B35+B38</f>
        <v>798</v>
      </c>
      <c r="C20" s="6">
        <f t="shared" ref="C20:H21" si="14">C23+C26+C29+C32+C35+C38</f>
        <v>51201</v>
      </c>
      <c r="D20" s="6">
        <f t="shared" si="14"/>
        <v>44554</v>
      </c>
      <c r="E20" s="6">
        <f t="shared" si="14"/>
        <v>6143</v>
      </c>
      <c r="F20" s="6">
        <f t="shared" si="14"/>
        <v>11924</v>
      </c>
      <c r="G20" s="6">
        <f t="shared" si="14"/>
        <v>2740</v>
      </c>
      <c r="H20" s="76">
        <f t="shared" si="14"/>
        <v>23747</v>
      </c>
      <c r="J20" s="366" t="s">
        <v>18</v>
      </c>
      <c r="K20" s="93">
        <f>K23+K26+K29+K32+K35+K38</f>
        <v>167.9</v>
      </c>
      <c r="L20" s="93">
        <f t="shared" ref="L20:Q21" si="15">L23+L26+L29+L32+L35+L38</f>
        <v>6624</v>
      </c>
      <c r="M20" s="93">
        <f t="shared" si="15"/>
        <v>5574</v>
      </c>
      <c r="N20" s="93">
        <f t="shared" si="15"/>
        <v>636</v>
      </c>
      <c r="O20" s="93">
        <f t="shared" si="15"/>
        <v>1473</v>
      </c>
      <c r="P20" s="93">
        <f t="shared" si="15"/>
        <v>325</v>
      </c>
      <c r="Q20" s="368">
        <f t="shared" si="15"/>
        <v>3140</v>
      </c>
      <c r="R20" s="444" t="s">
        <v>18</v>
      </c>
      <c r="S20" s="93">
        <f t="shared" ref="S20:Y20" si="16">S26+S29+S32+S35+S38</f>
        <v>630.1</v>
      </c>
      <c r="T20" s="93">
        <f t="shared" si="16"/>
        <v>44577</v>
      </c>
      <c r="U20" s="93">
        <f t="shared" si="16"/>
        <v>38980</v>
      </c>
      <c r="V20" s="93">
        <f t="shared" si="16"/>
        <v>5507</v>
      </c>
      <c r="W20" s="93">
        <f t="shared" si="16"/>
        <v>10451</v>
      </c>
      <c r="X20" s="93">
        <f t="shared" si="16"/>
        <v>2415</v>
      </c>
      <c r="Y20" s="368">
        <f t="shared" si="16"/>
        <v>20607</v>
      </c>
      <c r="AA20" s="366" t="s">
        <v>18</v>
      </c>
      <c r="AB20" s="93">
        <f>AB23+AB26+AB29+AB32+AB35+AB38</f>
        <v>40.5</v>
      </c>
      <c r="AC20" s="93">
        <f t="shared" ref="AC20:AH21" si="17">AC23+AC26+AC29+AC32+AC35+AC38</f>
        <v>5513</v>
      </c>
      <c r="AD20" s="93">
        <f t="shared" si="17"/>
        <v>4692</v>
      </c>
      <c r="AE20" s="93">
        <f t="shared" si="17"/>
        <v>2356</v>
      </c>
      <c r="AF20" s="93">
        <f t="shared" si="17"/>
        <v>983</v>
      </c>
      <c r="AG20" s="93">
        <f t="shared" si="17"/>
        <v>150</v>
      </c>
      <c r="AH20" s="368">
        <f t="shared" si="17"/>
        <v>1203</v>
      </c>
      <c r="AI20" s="21"/>
      <c r="AJ20" s="366" t="s">
        <v>18</v>
      </c>
      <c r="AK20" s="93">
        <f>AK23+AK26+AK29+AK32+AK35+AK38</f>
        <v>0</v>
      </c>
      <c r="AL20" s="93">
        <f t="shared" ref="AL20:AQ21" si="18">AL23+AL26+AL29+AL32+AL35+AL38</f>
        <v>0</v>
      </c>
      <c r="AM20" s="93">
        <f t="shared" si="18"/>
        <v>0</v>
      </c>
      <c r="AN20" s="93">
        <f t="shared" si="18"/>
        <v>0</v>
      </c>
      <c r="AO20" s="93">
        <f t="shared" si="18"/>
        <v>0</v>
      </c>
      <c r="AP20" s="93">
        <f t="shared" si="18"/>
        <v>0</v>
      </c>
      <c r="AQ20" s="368">
        <f t="shared" si="18"/>
        <v>0</v>
      </c>
    </row>
    <row r="21" spans="1:44" s="201" customFormat="1">
      <c r="A21" s="245" t="s">
        <v>19</v>
      </c>
      <c r="B21" s="385">
        <f>B24+B27+B30+B33+B36+B39</f>
        <v>772.05</v>
      </c>
      <c r="C21" s="385">
        <f t="shared" si="14"/>
        <v>45192</v>
      </c>
      <c r="D21" s="385">
        <f t="shared" si="14"/>
        <v>42871</v>
      </c>
      <c r="E21" s="385">
        <f t="shared" si="14"/>
        <v>5938</v>
      </c>
      <c r="F21" s="385">
        <f t="shared" si="14"/>
        <v>12179</v>
      </c>
      <c r="G21" s="385">
        <f t="shared" si="14"/>
        <v>2557</v>
      </c>
      <c r="H21" s="419">
        <f t="shared" si="14"/>
        <v>22197</v>
      </c>
      <c r="I21" s="53"/>
      <c r="J21" s="420" t="s">
        <v>19</v>
      </c>
      <c r="K21" s="423">
        <f>K24+K27+K30+K33+K36+K39</f>
        <v>155.44999999999999</v>
      </c>
      <c r="L21" s="423">
        <f t="shared" si="15"/>
        <v>4863</v>
      </c>
      <c r="M21" s="423">
        <f t="shared" si="15"/>
        <v>4626</v>
      </c>
      <c r="N21" s="423">
        <f t="shared" si="15"/>
        <v>762</v>
      </c>
      <c r="O21" s="423">
        <f t="shared" si="15"/>
        <v>778</v>
      </c>
      <c r="P21" s="423">
        <f t="shared" si="15"/>
        <v>180</v>
      </c>
      <c r="Q21" s="424">
        <f t="shared" si="15"/>
        <v>2906</v>
      </c>
      <c r="R21" s="428" t="s">
        <v>19</v>
      </c>
      <c r="S21" s="423">
        <f>S24+S27+S30+S33+S36+S39</f>
        <v>589.59999999999991</v>
      </c>
      <c r="T21" s="423">
        <f t="shared" ref="T21:Y21" si="19">T24+T27+T30+T33+T36+T39</f>
        <v>39532</v>
      </c>
      <c r="U21" s="423">
        <f t="shared" si="19"/>
        <v>37460</v>
      </c>
      <c r="V21" s="423">
        <f t="shared" si="19"/>
        <v>4993</v>
      </c>
      <c r="W21" s="423">
        <f t="shared" si="19"/>
        <v>11370</v>
      </c>
      <c r="X21" s="423">
        <f t="shared" si="19"/>
        <v>2377</v>
      </c>
      <c r="Y21" s="424">
        <f t="shared" si="19"/>
        <v>18720</v>
      </c>
      <c r="Z21" s="422"/>
      <c r="AA21" s="420" t="s">
        <v>19</v>
      </c>
      <c r="AB21" s="423">
        <f>AB24+AB27+AB30+AB33+AB36+AB39</f>
        <v>95</v>
      </c>
      <c r="AC21" s="423">
        <f t="shared" si="17"/>
        <v>7431</v>
      </c>
      <c r="AD21" s="423">
        <f t="shared" si="17"/>
        <v>6907</v>
      </c>
      <c r="AE21" s="423">
        <f t="shared" si="17"/>
        <v>3027</v>
      </c>
      <c r="AF21" s="423">
        <f t="shared" si="17"/>
        <v>1107</v>
      </c>
      <c r="AG21" s="423">
        <f t="shared" si="17"/>
        <v>327</v>
      </c>
      <c r="AH21" s="424">
        <f t="shared" si="17"/>
        <v>2446</v>
      </c>
      <c r="AI21" s="21"/>
      <c r="AJ21" s="420" t="s">
        <v>19</v>
      </c>
      <c r="AK21" s="423">
        <f>AK24+AK27+AK30+AK33+AK36+AK39</f>
        <v>27</v>
      </c>
      <c r="AL21" s="423">
        <f t="shared" si="18"/>
        <v>797</v>
      </c>
      <c r="AM21" s="423">
        <f t="shared" si="18"/>
        <v>785</v>
      </c>
      <c r="AN21" s="423">
        <f t="shared" si="18"/>
        <v>183</v>
      </c>
      <c r="AO21" s="423">
        <f t="shared" si="18"/>
        <v>31</v>
      </c>
      <c r="AP21" s="423">
        <f t="shared" si="18"/>
        <v>0</v>
      </c>
      <c r="AQ21" s="424">
        <f t="shared" si="18"/>
        <v>571</v>
      </c>
    </row>
    <row r="22" spans="1:44">
      <c r="A22" s="245" t="s">
        <v>20</v>
      </c>
      <c r="B22" s="26">
        <f t="shared" ref="B22:H22" si="20">B21/B20*100</f>
        <v>96.748120300751879</v>
      </c>
      <c r="C22" s="26">
        <f t="shared" si="20"/>
        <v>88.263901095681732</v>
      </c>
      <c r="D22" s="26">
        <f t="shared" si="20"/>
        <v>96.22256138618306</v>
      </c>
      <c r="E22" s="26">
        <f t="shared" si="20"/>
        <v>96.662868305388244</v>
      </c>
      <c r="F22" s="26">
        <f t="shared" si="20"/>
        <v>102.13854411271386</v>
      </c>
      <c r="G22" s="26">
        <f t="shared" si="20"/>
        <v>93.321167883211672</v>
      </c>
      <c r="H22" s="77">
        <f t="shared" si="20"/>
        <v>93.472859729650054</v>
      </c>
      <c r="J22" s="366" t="s">
        <v>20</v>
      </c>
      <c r="K22" s="175">
        <f>K21/K20*100</f>
        <v>92.584871947587843</v>
      </c>
      <c r="L22" s="175">
        <f>L21/L20*100</f>
        <v>73.414855072463766</v>
      </c>
      <c r="M22" s="175">
        <f>M21/M20*100</f>
        <v>82.992465016146397</v>
      </c>
      <c r="N22" s="175">
        <v>0</v>
      </c>
      <c r="O22" s="175">
        <f>O21/O20*100</f>
        <v>52.817379497623897</v>
      </c>
      <c r="P22" s="175">
        <f>P21/P20*100</f>
        <v>55.384615384615387</v>
      </c>
      <c r="Q22" s="371">
        <f>Q21/Q20*100</f>
        <v>92.547770700636946</v>
      </c>
      <c r="R22" s="444" t="s">
        <v>20</v>
      </c>
      <c r="S22" s="175">
        <f>S21/S20*100</f>
        <v>93.572448817647981</v>
      </c>
      <c r="T22" s="175">
        <f>T21/T20*100</f>
        <v>88.682504430535928</v>
      </c>
      <c r="U22" s="175">
        <f>U21/U20*100</f>
        <v>96.100564391995889</v>
      </c>
      <c r="V22" s="175">
        <v>0</v>
      </c>
      <c r="W22" s="175">
        <f>W21/W20*100</f>
        <v>108.79341689790452</v>
      </c>
      <c r="X22" s="175">
        <f>X21/X20*100</f>
        <v>98.426501035196694</v>
      </c>
      <c r="Y22" s="371">
        <f>Y21/Y20*100</f>
        <v>90.84291745523366</v>
      </c>
      <c r="AA22" s="366" t="s">
        <v>20</v>
      </c>
      <c r="AB22" s="175">
        <f>AB21/AB20*100</f>
        <v>234.56790123456793</v>
      </c>
      <c r="AC22" s="175">
        <f>AC21/AC20*100</f>
        <v>134.79049519317977</v>
      </c>
      <c r="AD22" s="175">
        <f>AD21/AD20*100</f>
        <v>147.2080136402387</v>
      </c>
      <c r="AE22" s="175">
        <v>0</v>
      </c>
      <c r="AF22" s="175">
        <f>AF21/AF20*100</f>
        <v>112.61444557477111</v>
      </c>
      <c r="AG22" s="175">
        <f>AG21/AG20*100</f>
        <v>218.00000000000003</v>
      </c>
      <c r="AH22" s="371">
        <f>AH21/AH20*100</f>
        <v>203.32502078137989</v>
      </c>
      <c r="AI22" s="21"/>
      <c r="AJ22" s="366" t="s">
        <v>20</v>
      </c>
      <c r="AK22" s="175" t="e">
        <f>AK21/AK20*100</f>
        <v>#DIV/0!</v>
      </c>
      <c r="AL22" s="175" t="e">
        <f>AL21/AL20*100</f>
        <v>#DIV/0!</v>
      </c>
      <c r="AM22" s="175" t="e">
        <f>AM21/AM20*100</f>
        <v>#DIV/0!</v>
      </c>
      <c r="AN22" s="175">
        <v>0</v>
      </c>
      <c r="AO22" s="175" t="e">
        <f>AO21/AO20*100</f>
        <v>#DIV/0!</v>
      </c>
      <c r="AP22" s="175" t="e">
        <f>AP21/AP20*100</f>
        <v>#DIV/0!</v>
      </c>
      <c r="AQ22" s="371" t="e">
        <f>AQ21/AQ20*100</f>
        <v>#DIV/0!</v>
      </c>
    </row>
    <row r="23" spans="1:44">
      <c r="A23" s="107" t="s">
        <v>21</v>
      </c>
      <c r="B23" s="27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1">N23+V23+AN23</f>
        <v>0</v>
      </c>
      <c r="F23" s="6">
        <f t="shared" si="21"/>
        <v>0</v>
      </c>
      <c r="G23" s="6">
        <f t="shared" si="21"/>
        <v>0</v>
      </c>
      <c r="H23" s="76">
        <f t="shared" si="21"/>
        <v>0</v>
      </c>
      <c r="J23" s="369" t="s">
        <v>21</v>
      </c>
      <c r="K23" s="93"/>
      <c r="L23" s="93"/>
      <c r="M23" s="93">
        <f>N23+O23+P23+Q23</f>
        <v>0</v>
      </c>
      <c r="N23" s="93"/>
      <c r="O23" s="93"/>
      <c r="P23" s="93"/>
      <c r="Q23" s="368"/>
      <c r="R23" s="449" t="s">
        <v>21</v>
      </c>
      <c r="S23" s="93"/>
      <c r="T23" s="93"/>
      <c r="U23" s="93">
        <f>V23+W23+X23+Y23</f>
        <v>0</v>
      </c>
      <c r="V23" s="93"/>
      <c r="W23" s="93"/>
      <c r="X23" s="93"/>
      <c r="Y23" s="368"/>
      <c r="AA23" s="369" t="s">
        <v>21</v>
      </c>
      <c r="AB23" s="93"/>
      <c r="AC23" s="93"/>
      <c r="AD23" s="93">
        <f>AE23+AF23+AG23+AH23</f>
        <v>0</v>
      </c>
      <c r="AE23" s="93"/>
      <c r="AF23" s="93"/>
      <c r="AG23" s="93"/>
      <c r="AH23" s="368"/>
      <c r="AI23" s="21"/>
      <c r="AJ23" s="369" t="s">
        <v>21</v>
      </c>
      <c r="AK23" s="93"/>
      <c r="AL23" s="93"/>
      <c r="AM23" s="93">
        <f>AN23+AO23+AP23+AQ23</f>
        <v>0</v>
      </c>
      <c r="AN23" s="93"/>
      <c r="AO23" s="93"/>
      <c r="AP23" s="93"/>
      <c r="AQ23" s="368"/>
    </row>
    <row r="24" spans="1:44">
      <c r="A24" s="107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1"/>
        <v>0</v>
      </c>
      <c r="F24" s="6">
        <f t="shared" si="21"/>
        <v>0</v>
      </c>
      <c r="G24" s="6">
        <f t="shared" si="21"/>
        <v>0</v>
      </c>
      <c r="H24" s="76">
        <f t="shared" si="21"/>
        <v>0</v>
      </c>
      <c r="J24" s="369" t="s">
        <v>22</v>
      </c>
      <c r="K24" s="93"/>
      <c r="L24" s="93"/>
      <c r="M24" s="93">
        <f>N24+O24+P24+Q24</f>
        <v>0</v>
      </c>
      <c r="N24" s="93"/>
      <c r="O24" s="93"/>
      <c r="P24" s="93"/>
      <c r="Q24" s="368"/>
      <c r="R24" s="449" t="s">
        <v>22</v>
      </c>
      <c r="S24" s="93"/>
      <c r="T24" s="93"/>
      <c r="U24" s="93">
        <f>V24+W24+X24+Y24</f>
        <v>0</v>
      </c>
      <c r="V24" s="93"/>
      <c r="W24" s="93"/>
      <c r="X24" s="93"/>
      <c r="Y24" s="368"/>
      <c r="AA24" s="369" t="s">
        <v>22</v>
      </c>
      <c r="AB24" s="93"/>
      <c r="AC24" s="93"/>
      <c r="AD24" s="93">
        <f>AE24+AF24+AG24+AH24</f>
        <v>0</v>
      </c>
      <c r="AE24" s="93"/>
      <c r="AF24" s="93"/>
      <c r="AG24" s="93"/>
      <c r="AH24" s="368"/>
      <c r="AJ24" s="369" t="s">
        <v>22</v>
      </c>
      <c r="AK24" s="445">
        <f>'[2]ГП-преходни 24 не отдадени '!AK24+'[2]ГП-2025 15.10.2024'!AK24</f>
        <v>0</v>
      </c>
      <c r="AL24" s="445">
        <f>'[2]ГП-преходни 24 не отдадени '!AL24+'[2]ГП-2025 15.10.2024'!AL24</f>
        <v>0</v>
      </c>
      <c r="AM24" s="421">
        <f>AN24+AO24+AP24+AQ24</f>
        <v>0</v>
      </c>
      <c r="AN24" s="445">
        <f>'[2]ГП-преходни 24 не отдадени '!AN24+'[2]ГП-2025 15.10.2024'!AN24</f>
        <v>0</v>
      </c>
      <c r="AO24" s="445">
        <f>'[2]ГП-преходни 24 не отдадени '!AO24+'[2]ГП-2025 15.10.2024'!AO24</f>
        <v>0</v>
      </c>
      <c r="AP24" s="445">
        <f>'[2]ГП-преходни 24 не отдадени '!AP24+'[2]ГП-2025 15.10.2024'!AP24</f>
        <v>0</v>
      </c>
      <c r="AQ24" s="445">
        <f>'[2]ГП-преходни 24 не отдадени '!AQ24+'[2]ГП-2025 15.10.2024'!AQ24</f>
        <v>0</v>
      </c>
    </row>
    <row r="25" spans="1:44">
      <c r="A25" s="107" t="s">
        <v>12</v>
      </c>
      <c r="B25" s="26" t="e">
        <f t="shared" ref="B25:H25" si="22">B24/B23*100</f>
        <v>#DIV/0!</v>
      </c>
      <c r="C25" s="26" t="e">
        <f t="shared" si="22"/>
        <v>#DIV/0!</v>
      </c>
      <c r="D25" s="26" t="e">
        <f t="shared" si="22"/>
        <v>#DIV/0!</v>
      </c>
      <c r="E25" s="26" t="e">
        <f t="shared" si="22"/>
        <v>#DIV/0!</v>
      </c>
      <c r="F25" s="26" t="e">
        <f t="shared" si="22"/>
        <v>#DIV/0!</v>
      </c>
      <c r="G25" s="26" t="e">
        <f t="shared" si="22"/>
        <v>#DIV/0!</v>
      </c>
      <c r="H25" s="77" t="e">
        <f t="shared" si="22"/>
        <v>#DIV/0!</v>
      </c>
      <c r="J25" s="369" t="s">
        <v>12</v>
      </c>
      <c r="K25" s="175" t="e">
        <f>K24/K23*100</f>
        <v>#DIV/0!</v>
      </c>
      <c r="L25" s="175" t="e">
        <f>L24/L23*100</f>
        <v>#DIV/0!</v>
      </c>
      <c r="M25" s="175" t="e">
        <f>M24/M23*100</f>
        <v>#DIV/0!</v>
      </c>
      <c r="N25" s="175">
        <v>0</v>
      </c>
      <c r="O25" s="175" t="e">
        <f>O24/O23*100</f>
        <v>#DIV/0!</v>
      </c>
      <c r="P25" s="175" t="e">
        <f>P24/P23*100</f>
        <v>#DIV/0!</v>
      </c>
      <c r="Q25" s="371" t="e">
        <f>Q24/Q23*100</f>
        <v>#DIV/0!</v>
      </c>
      <c r="R25" s="449" t="s">
        <v>12</v>
      </c>
      <c r="S25" s="175" t="e">
        <f>S24/S23*100</f>
        <v>#DIV/0!</v>
      </c>
      <c r="T25" s="175" t="e">
        <f>T24/T23*100</f>
        <v>#DIV/0!</v>
      </c>
      <c r="U25" s="175" t="e">
        <f>U24/U23*100</f>
        <v>#DIV/0!</v>
      </c>
      <c r="V25" s="175">
        <v>0</v>
      </c>
      <c r="W25" s="175" t="e">
        <f>W24/W23*100</f>
        <v>#DIV/0!</v>
      </c>
      <c r="X25" s="175" t="e">
        <f>X24/X23*100</f>
        <v>#DIV/0!</v>
      </c>
      <c r="Y25" s="371" t="e">
        <f>Y24/Y23*100</f>
        <v>#DIV/0!</v>
      </c>
      <c r="AA25" s="369" t="s">
        <v>12</v>
      </c>
      <c r="AB25" s="175" t="e">
        <f>AB24/AB23*100</f>
        <v>#DIV/0!</v>
      </c>
      <c r="AC25" s="175" t="e">
        <f>AC24/AC23*100</f>
        <v>#DIV/0!</v>
      </c>
      <c r="AD25" s="175" t="e">
        <f>AD24/AD23*100</f>
        <v>#DIV/0!</v>
      </c>
      <c r="AE25" s="175">
        <v>0</v>
      </c>
      <c r="AF25" s="175" t="e">
        <f>AF24/AF23*100</f>
        <v>#DIV/0!</v>
      </c>
      <c r="AG25" s="175" t="e">
        <f>AG24/AG23*100</f>
        <v>#DIV/0!</v>
      </c>
      <c r="AH25" s="371" t="e">
        <f>AH24/AH23*100</f>
        <v>#DIV/0!</v>
      </c>
      <c r="AI25" s="21"/>
      <c r="AJ25" s="369" t="s">
        <v>12</v>
      </c>
      <c r="AK25" s="175" t="e">
        <f>AK24/AK23*100</f>
        <v>#DIV/0!</v>
      </c>
      <c r="AL25" s="175" t="e">
        <f>AL24/AL23*100</f>
        <v>#DIV/0!</v>
      </c>
      <c r="AM25" s="175" t="e">
        <f>AM24/AM23*100</f>
        <v>#DIV/0!</v>
      </c>
      <c r="AN25" s="175">
        <v>0</v>
      </c>
      <c r="AO25" s="175" t="e">
        <f>AO24/AO23*100</f>
        <v>#DIV/0!</v>
      </c>
      <c r="AP25" s="175" t="e">
        <f>AP24/AP23*100</f>
        <v>#DIV/0!</v>
      </c>
      <c r="AQ25" s="371" t="e">
        <f>AQ24/AQ23*100</f>
        <v>#DIV/0!</v>
      </c>
    </row>
    <row r="26" spans="1:44">
      <c r="A26" s="107" t="s">
        <v>23</v>
      </c>
      <c r="B26" s="6">
        <f>K26+S26+AK26</f>
        <v>58.7</v>
      </c>
      <c r="C26" s="6">
        <f>L26+T26+AL26</f>
        <v>2226</v>
      </c>
      <c r="D26" s="6">
        <f>E26+F26+G26+H26</f>
        <v>1955</v>
      </c>
      <c r="E26" s="6">
        <f t="shared" ref="E26:H27" si="23">N26+V26+AN26</f>
        <v>200</v>
      </c>
      <c r="F26" s="6">
        <f t="shared" si="23"/>
        <v>469</v>
      </c>
      <c r="G26" s="6">
        <f t="shared" si="23"/>
        <v>69</v>
      </c>
      <c r="H26" s="76">
        <f t="shared" si="23"/>
        <v>1217</v>
      </c>
      <c r="J26" s="369" t="s">
        <v>23</v>
      </c>
      <c r="K26" s="93">
        <v>34.6</v>
      </c>
      <c r="L26" s="379">
        <v>1461</v>
      </c>
      <c r="M26" s="93">
        <f>N26+O26+P26+Q26</f>
        <v>1273</v>
      </c>
      <c r="N26" s="379">
        <v>122</v>
      </c>
      <c r="O26" s="379">
        <v>301</v>
      </c>
      <c r="P26" s="379">
        <v>39</v>
      </c>
      <c r="Q26" s="367">
        <v>811</v>
      </c>
      <c r="R26" s="449" t="s">
        <v>23</v>
      </c>
      <c r="S26" s="93">
        <v>24.1</v>
      </c>
      <c r="T26" s="93">
        <v>765</v>
      </c>
      <c r="U26" s="30">
        <f>V26+W26+X26+Y26</f>
        <v>682</v>
      </c>
      <c r="V26" s="93">
        <v>78</v>
      </c>
      <c r="W26" s="93">
        <v>168</v>
      </c>
      <c r="X26" s="93">
        <v>30</v>
      </c>
      <c r="Y26" s="368">
        <v>406</v>
      </c>
      <c r="Z26" s="201"/>
      <c r="AA26" s="369" t="s">
        <v>23</v>
      </c>
      <c r="AB26" s="93">
        <v>0.2</v>
      </c>
      <c r="AC26" s="93">
        <v>3</v>
      </c>
      <c r="AD26" s="93">
        <f>AE26+AF26+AG26+AH26</f>
        <v>3</v>
      </c>
      <c r="AE26" s="93">
        <v>1</v>
      </c>
      <c r="AF26" s="93"/>
      <c r="AG26" s="93"/>
      <c r="AH26" s="368">
        <v>2</v>
      </c>
      <c r="AJ26" s="369" t="s">
        <v>23</v>
      </c>
      <c r="AK26" s="93"/>
      <c r="AL26" s="93"/>
      <c r="AM26" s="93">
        <f>AN26+AO26+AP26+AQ26</f>
        <v>0</v>
      </c>
      <c r="AN26" s="93"/>
      <c r="AO26" s="93"/>
      <c r="AP26" s="93"/>
      <c r="AQ26" s="368"/>
    </row>
    <row r="27" spans="1:44">
      <c r="A27" s="107" t="s">
        <v>24</v>
      </c>
      <c r="B27" s="385">
        <f>K27+S27+AK27</f>
        <v>63</v>
      </c>
      <c r="C27" s="385">
        <f>L27+T27+AL27</f>
        <v>2750</v>
      </c>
      <c r="D27" s="385">
        <f>E27+F27+G27+H27</f>
        <v>2614</v>
      </c>
      <c r="E27" s="385">
        <f t="shared" si="23"/>
        <v>613</v>
      </c>
      <c r="F27" s="385">
        <f t="shared" si="23"/>
        <v>480</v>
      </c>
      <c r="G27" s="385">
        <f t="shared" si="23"/>
        <v>39</v>
      </c>
      <c r="H27" s="419">
        <f t="shared" si="23"/>
        <v>1482</v>
      </c>
      <c r="I27" s="53"/>
      <c r="J27" s="427" t="s">
        <v>24</v>
      </c>
      <c r="K27" s="445">
        <f>'[2]ГП-преходни 24 не отдадени '!K27+'[2]ГП-2025 15.10.2024'!K27</f>
        <v>29.1</v>
      </c>
      <c r="L27" s="445">
        <f>'[2]ГП-преходни 24 не отдадени '!L27+'[2]ГП-2025 15.10.2024'!L27</f>
        <v>1531</v>
      </c>
      <c r="M27" s="421">
        <f>N27+O27+P27+Q27</f>
        <v>1492</v>
      </c>
      <c r="N27" s="445">
        <f>'[2]ГП-преходни 24 не отдадени '!N27+'[2]ГП-2025 15.10.2024'!N27</f>
        <v>462</v>
      </c>
      <c r="O27" s="445">
        <f>'[2]ГП-преходни 24 не отдадени '!O27+'[2]ГП-2025 15.10.2024'!O27</f>
        <v>198</v>
      </c>
      <c r="P27" s="445">
        <f>'[2]ГП-преходни 24 не отдадени '!P27+'[2]ГП-2025 15.10.2024'!P27</f>
        <v>19</v>
      </c>
      <c r="Q27" s="445">
        <f>'[2]ГП-преходни 24 не отдадени '!Q27+'[2]ГП-2025 15.10.2024'!Q27</f>
        <v>813</v>
      </c>
      <c r="R27" s="450" t="s">
        <v>24</v>
      </c>
      <c r="S27" s="445">
        <f>'[2]ГП-преходни 24 не отдадени '!S27+'[2]ГП-2025 15.10.2024'!S27</f>
        <v>33.9</v>
      </c>
      <c r="T27" s="445">
        <f>'[2]ГП-преходни 24 не отдадени '!T27+'[2]ГП-2025 15.10.2024'!T27</f>
        <v>1219</v>
      </c>
      <c r="U27" s="421">
        <f>V27+W27+X27+Y27</f>
        <v>1122</v>
      </c>
      <c r="V27" s="445">
        <f>'[2]ГП-преходни 24 не отдадени '!V27+'[2]ГП-2025 15.10.2024'!V27</f>
        <v>151</v>
      </c>
      <c r="W27" s="445">
        <f>'[2]ГП-преходни 24 не отдадени '!W27+'[2]ГП-2025 15.10.2024'!W27</f>
        <v>282</v>
      </c>
      <c r="X27" s="445">
        <f>'[2]ГП-преходни 24 не отдадени '!X27+'[2]ГП-2025 15.10.2024'!X27</f>
        <v>20</v>
      </c>
      <c r="Y27" s="445">
        <f>'[2]ГП-преходни 24 не отдадени '!Y27+'[2]ГП-2025 15.10.2024'!Y27</f>
        <v>669</v>
      </c>
      <c r="Z27" s="422"/>
      <c r="AA27" s="427" t="s">
        <v>24</v>
      </c>
      <c r="AB27" s="445">
        <f>'[2]ГП-преходни 24 не отдадени '!AB27+'[2]ГП-2025 15.10.2024'!AB27</f>
        <v>0.6</v>
      </c>
      <c r="AC27" s="445">
        <f>'[2]ГП-преходни 24 не отдадени '!AC27+'[2]ГП-2025 15.10.2024'!AC27</f>
        <v>19</v>
      </c>
      <c r="AD27" s="421">
        <f>AE27+AF27+AG27+AH27</f>
        <v>19</v>
      </c>
      <c r="AE27" s="445">
        <f>'[2]ГП-преходни 24 не отдадени '!AE27+'[2]ГП-2025 15.10.2024'!AE27</f>
        <v>3</v>
      </c>
      <c r="AF27" s="445">
        <f>'[2]ГП-преходни 24 не отдадени '!AF27+'[2]ГП-2025 15.10.2024'!AF27</f>
        <v>3</v>
      </c>
      <c r="AG27" s="445">
        <f>'[2]ГП-преходни 24 не отдадени '!AG27+'[2]ГП-2025 15.10.2024'!AG27</f>
        <v>0</v>
      </c>
      <c r="AH27" s="445">
        <f>'[2]ГП-преходни 24 не отдадени '!AH27+'[2]ГП-2025 15.10.2024'!AH27</f>
        <v>13</v>
      </c>
      <c r="AI27" s="21"/>
      <c r="AJ27" s="427" t="s">
        <v>24</v>
      </c>
      <c r="AK27" s="445">
        <f>'[2]ГП-преходни 24 не отдадени '!AK27+'[2]ГП-2025 15.10.2024'!AK27</f>
        <v>0</v>
      </c>
      <c r="AL27" s="445">
        <f>'[2]ГП-преходни 24 не отдадени '!AL27+'[2]ГП-2025 15.10.2024'!AL27</f>
        <v>0</v>
      </c>
      <c r="AM27" s="421">
        <f>AN27+AO27+AP27+AQ27</f>
        <v>0</v>
      </c>
      <c r="AN27" s="445">
        <f>'[2]ГП-преходни 24 не отдадени '!AN27+'[2]ГП-2025 15.10.2024'!AN27</f>
        <v>0</v>
      </c>
      <c r="AO27" s="445">
        <f>'[2]ГП-преходни 24 не отдадени '!AO27+'[2]ГП-2025 15.10.2024'!AO27</f>
        <v>0</v>
      </c>
      <c r="AP27" s="445">
        <f>'[2]ГП-преходни 24 не отдадени '!AP27+'[2]ГП-2025 15.10.2024'!AP27</f>
        <v>0</v>
      </c>
      <c r="AQ27" s="445">
        <f>'[2]ГП-преходни 24 не отдадени '!AQ27+'[2]ГП-2025 15.10.2024'!AQ27</f>
        <v>0</v>
      </c>
      <c r="AR27" s="201"/>
    </row>
    <row r="28" spans="1:44">
      <c r="A28" s="107" t="s">
        <v>12</v>
      </c>
      <c r="B28" s="26">
        <f t="shared" ref="B28:H28" si="24">B27/B26*100</f>
        <v>107.32538330494037</v>
      </c>
      <c r="C28" s="26">
        <f t="shared" si="24"/>
        <v>123.53998203054807</v>
      </c>
      <c r="D28" s="26">
        <f t="shared" si="24"/>
        <v>133.70843989769821</v>
      </c>
      <c r="E28" s="26">
        <f t="shared" si="24"/>
        <v>306.5</v>
      </c>
      <c r="F28" s="26">
        <f t="shared" si="24"/>
        <v>102.34541577825161</v>
      </c>
      <c r="G28" s="26">
        <f t="shared" si="24"/>
        <v>56.521739130434781</v>
      </c>
      <c r="H28" s="77">
        <f t="shared" si="24"/>
        <v>121.77485620377979</v>
      </c>
      <c r="J28" s="369" t="s">
        <v>12</v>
      </c>
      <c r="K28" s="175">
        <f t="shared" ref="K28:Q28" si="25">K27/K26*100</f>
        <v>84.104046242774572</v>
      </c>
      <c r="L28" s="175">
        <f t="shared" si="25"/>
        <v>104.79123887748119</v>
      </c>
      <c r="M28" s="175">
        <f t="shared" si="25"/>
        <v>117.20345640219954</v>
      </c>
      <c r="N28" s="175">
        <f t="shared" si="25"/>
        <v>378.68852459016392</v>
      </c>
      <c r="O28" s="175">
        <f t="shared" si="25"/>
        <v>65.78073089700996</v>
      </c>
      <c r="P28" s="175">
        <f t="shared" si="25"/>
        <v>48.717948717948715</v>
      </c>
      <c r="Q28" s="371">
        <f t="shared" si="25"/>
        <v>100.2466091245376</v>
      </c>
      <c r="R28" s="449" t="s">
        <v>12</v>
      </c>
      <c r="S28" s="175">
        <f t="shared" ref="S28:Y28" si="26">S27/S26*100</f>
        <v>140.66390041493776</v>
      </c>
      <c r="T28" s="175">
        <f t="shared" si="26"/>
        <v>159.34640522875816</v>
      </c>
      <c r="U28" s="175">
        <f t="shared" si="26"/>
        <v>164.51612903225808</v>
      </c>
      <c r="V28" s="175">
        <f t="shared" si="26"/>
        <v>193.58974358974359</v>
      </c>
      <c r="W28" s="175">
        <f t="shared" si="26"/>
        <v>167.85714285714286</v>
      </c>
      <c r="X28" s="175">
        <f t="shared" si="26"/>
        <v>66.666666666666657</v>
      </c>
      <c r="Y28" s="371">
        <f t="shared" si="26"/>
        <v>164.77832512315271</v>
      </c>
      <c r="AA28" s="369" t="s">
        <v>12</v>
      </c>
      <c r="AB28" s="175">
        <f t="shared" ref="AB28:AH28" si="27">AB27/AB26*100</f>
        <v>299.99999999999994</v>
      </c>
      <c r="AC28" s="175">
        <f t="shared" si="27"/>
        <v>633.33333333333326</v>
      </c>
      <c r="AD28" s="175">
        <f t="shared" si="27"/>
        <v>633.33333333333326</v>
      </c>
      <c r="AE28" s="175">
        <f t="shared" si="27"/>
        <v>300</v>
      </c>
      <c r="AF28" s="175" t="e">
        <f t="shared" si="27"/>
        <v>#DIV/0!</v>
      </c>
      <c r="AG28" s="175" t="e">
        <f t="shared" si="27"/>
        <v>#DIV/0!</v>
      </c>
      <c r="AH28" s="371">
        <f t="shared" si="27"/>
        <v>650</v>
      </c>
      <c r="AI28" s="21"/>
      <c r="AJ28" s="369" t="s">
        <v>12</v>
      </c>
      <c r="AK28" s="175" t="e">
        <f t="shared" ref="AK28:AQ28" si="28">AK27/AK26*100</f>
        <v>#DIV/0!</v>
      </c>
      <c r="AL28" s="175" t="e">
        <f t="shared" si="28"/>
        <v>#DIV/0!</v>
      </c>
      <c r="AM28" s="175" t="e">
        <f t="shared" si="28"/>
        <v>#DIV/0!</v>
      </c>
      <c r="AN28" s="175" t="e">
        <f t="shared" si="28"/>
        <v>#DIV/0!</v>
      </c>
      <c r="AO28" s="175" t="e">
        <f t="shared" si="28"/>
        <v>#DIV/0!</v>
      </c>
      <c r="AP28" s="175" t="e">
        <f t="shared" si="28"/>
        <v>#DIV/0!</v>
      </c>
      <c r="AQ28" s="371" t="e">
        <f t="shared" si="28"/>
        <v>#DIV/0!</v>
      </c>
    </row>
    <row r="29" spans="1:44">
      <c r="A29" s="107" t="s">
        <v>25</v>
      </c>
      <c r="B29" s="6">
        <f>K29+S29+AK29</f>
        <v>332.5</v>
      </c>
      <c r="C29" s="6">
        <f>L29+T29+AL29</f>
        <v>11126</v>
      </c>
      <c r="D29" s="6">
        <f>E29+F29+G29+H29</f>
        <v>9889</v>
      </c>
      <c r="E29" s="6">
        <f t="shared" ref="E29:H30" si="29">N29+V29+AN29</f>
        <v>850</v>
      </c>
      <c r="F29" s="6">
        <f t="shared" si="29"/>
        <v>2600</v>
      </c>
      <c r="G29" s="6">
        <f t="shared" si="29"/>
        <v>479</v>
      </c>
      <c r="H29" s="76">
        <f t="shared" si="29"/>
        <v>5960</v>
      </c>
      <c r="J29" s="369" t="s">
        <v>25</v>
      </c>
      <c r="K29" s="93">
        <v>42.7</v>
      </c>
      <c r="L29" s="93">
        <v>984</v>
      </c>
      <c r="M29" s="93">
        <f>N29+O29+P29+Q29</f>
        <v>861</v>
      </c>
      <c r="N29" s="379">
        <v>36</v>
      </c>
      <c r="O29" s="379">
        <v>270</v>
      </c>
      <c r="P29" s="379">
        <v>74</v>
      </c>
      <c r="Q29" s="367">
        <v>481</v>
      </c>
      <c r="R29" s="449" t="s">
        <v>25</v>
      </c>
      <c r="S29" s="93">
        <v>289.8</v>
      </c>
      <c r="T29" s="93">
        <v>10142</v>
      </c>
      <c r="U29" s="30">
        <f>V29+W29+X29+Y29</f>
        <v>9028</v>
      </c>
      <c r="V29" s="93">
        <v>814</v>
      </c>
      <c r="W29" s="93">
        <v>2330</v>
      </c>
      <c r="X29" s="93">
        <v>405</v>
      </c>
      <c r="Y29" s="368">
        <v>5479</v>
      </c>
      <c r="AA29" s="369" t="s">
        <v>25</v>
      </c>
      <c r="AB29" s="93">
        <v>3.3</v>
      </c>
      <c r="AC29" s="93">
        <v>140</v>
      </c>
      <c r="AD29" s="93">
        <f>AE29+AF29+AG29+AH29</f>
        <v>125</v>
      </c>
      <c r="AE29" s="93">
        <v>14</v>
      </c>
      <c r="AF29" s="93">
        <v>28</v>
      </c>
      <c r="AG29" s="93">
        <v>5</v>
      </c>
      <c r="AH29" s="368">
        <v>78</v>
      </c>
      <c r="AI29" s="21"/>
      <c r="AJ29" s="369" t="s">
        <v>25</v>
      </c>
      <c r="AK29" s="93"/>
      <c r="AL29" s="93"/>
      <c r="AM29" s="93">
        <f>AN29+AO29+AP29+AQ29</f>
        <v>0</v>
      </c>
      <c r="AN29" s="93"/>
      <c r="AO29" s="93"/>
      <c r="AP29" s="93"/>
      <c r="AQ29" s="368"/>
    </row>
    <row r="30" spans="1:44">
      <c r="A30" s="107" t="s">
        <v>26</v>
      </c>
      <c r="B30" s="385">
        <f>K30+S30+AK30</f>
        <v>177.27999999999997</v>
      </c>
      <c r="C30" s="385">
        <f>L30+T30+AL30</f>
        <v>5670</v>
      </c>
      <c r="D30" s="385">
        <f>E30+F30+G30+H30</f>
        <v>5075</v>
      </c>
      <c r="E30" s="385">
        <f t="shared" si="29"/>
        <v>773</v>
      </c>
      <c r="F30" s="385">
        <f t="shared" si="29"/>
        <v>1111</v>
      </c>
      <c r="G30" s="385">
        <f t="shared" si="29"/>
        <v>227</v>
      </c>
      <c r="H30" s="419">
        <f t="shared" si="29"/>
        <v>2964</v>
      </c>
      <c r="I30" s="53"/>
      <c r="J30" s="427" t="s">
        <v>26</v>
      </c>
      <c r="K30" s="445">
        <f>'[2]ГП-преходни 24 не отдадени '!K30+'[2]ГП-2025 15.10.2024'!K30</f>
        <v>35.6</v>
      </c>
      <c r="L30" s="445">
        <f>'[2]ГП-преходни 24 не отдадени '!L30+'[2]ГП-2025 15.10.2024'!L30</f>
        <v>829</v>
      </c>
      <c r="M30" s="421">
        <f>N30+O30+P30+Q30</f>
        <v>734</v>
      </c>
      <c r="N30" s="445">
        <f>'[2]ГП-преходни 24 не отдадени '!N30+'[2]ГП-2025 15.10.2024'!N30</f>
        <v>45</v>
      </c>
      <c r="O30" s="445">
        <f>'[2]ГП-преходни 24 не отдадени '!O30+'[2]ГП-2025 15.10.2024'!O30</f>
        <v>166</v>
      </c>
      <c r="P30" s="445">
        <f>'[2]ГП-преходни 24 не отдадени '!P30+'[2]ГП-2025 15.10.2024'!P30</f>
        <v>92</v>
      </c>
      <c r="Q30" s="445">
        <f>'[2]ГП-преходни 24 не отдадени '!Q30+'[2]ГП-2025 15.10.2024'!Q30</f>
        <v>431</v>
      </c>
      <c r="R30" s="450" t="s">
        <v>26</v>
      </c>
      <c r="S30" s="445">
        <f>'[2]ГП-преходни 24 не отдадени '!S30+'[2]ГП-2025 15.10.2024'!S30</f>
        <v>139.97999999999999</v>
      </c>
      <c r="T30" s="445">
        <f>'[2]ГП-преходни 24 не отдадени '!T30+'[2]ГП-2025 15.10.2024'!T30</f>
        <v>4832</v>
      </c>
      <c r="U30" s="421">
        <f>V30+W30+X30+Y30</f>
        <v>4332</v>
      </c>
      <c r="V30" s="445">
        <f>'[2]ГП-преходни 24 не отдадени '!V30+'[2]ГП-2025 15.10.2024'!V30</f>
        <v>728</v>
      </c>
      <c r="W30" s="445">
        <f>'[2]ГП-преходни 24 не отдадени '!W30+'[2]ГП-2025 15.10.2024'!W30</f>
        <v>945</v>
      </c>
      <c r="X30" s="445">
        <f>'[2]ГП-преходни 24 не отдадени '!X30+'[2]ГП-2025 15.10.2024'!X30</f>
        <v>135</v>
      </c>
      <c r="Y30" s="445">
        <f>'[2]ГП-преходни 24 не отдадени '!Y30+'[2]ГП-2025 15.10.2024'!Y30</f>
        <v>2524</v>
      </c>
      <c r="Z30" s="422"/>
      <c r="AA30" s="427" t="s">
        <v>26</v>
      </c>
      <c r="AB30" s="445">
        <f>'[2]ГП-преходни 24 не отдадени '!AB30+'[2]ГП-2025 15.10.2024'!AB30</f>
        <v>19.600000000000001</v>
      </c>
      <c r="AC30" s="445">
        <f>'[2]ГП-преходни 24 не отдадени '!AC30+'[2]ГП-2025 15.10.2024'!AC30</f>
        <v>956</v>
      </c>
      <c r="AD30" s="421">
        <f>AE30+AF30+AG30+AH30</f>
        <v>872</v>
      </c>
      <c r="AE30" s="445">
        <f>'[2]ГП-преходни 24 не отдадени '!AE30+'[2]ГП-2025 15.10.2024'!AE30</f>
        <v>228</v>
      </c>
      <c r="AF30" s="445">
        <f>'[2]ГП-преходни 24 не отдадени '!AF30+'[2]ГП-2025 15.10.2024'!AF30</f>
        <v>139</v>
      </c>
      <c r="AG30" s="445">
        <f>'[2]ГП-преходни 24 не отдадени '!AG30+'[2]ГП-2025 15.10.2024'!AG30</f>
        <v>10</v>
      </c>
      <c r="AH30" s="445">
        <f>'[2]ГП-преходни 24 не отдадени '!AH30+'[2]ГП-2025 15.10.2024'!AH30</f>
        <v>495</v>
      </c>
      <c r="AI30" s="21"/>
      <c r="AJ30" s="427" t="s">
        <v>26</v>
      </c>
      <c r="AK30" s="445">
        <f>'[2]ГП-преходни 24 не отдадени '!AK30+'[2]ГП-2025 15.10.2024'!AK30</f>
        <v>1.7</v>
      </c>
      <c r="AL30" s="445">
        <f>'[2]ГП-преходни 24 не отдадени '!AL30+'[2]ГП-2025 15.10.2024'!AL30</f>
        <v>9</v>
      </c>
      <c r="AM30" s="421">
        <f>AN30+AO30+AP30+AQ30</f>
        <v>9</v>
      </c>
      <c r="AN30" s="445">
        <f>'[2]ГП-преходни 24 не отдадени '!AN30+'[2]ГП-2025 15.10.2024'!AN30</f>
        <v>0</v>
      </c>
      <c r="AO30" s="445">
        <f>'[2]ГП-преходни 24 не отдадени '!AO30+'[2]ГП-2025 15.10.2024'!AO30</f>
        <v>0</v>
      </c>
      <c r="AP30" s="445">
        <f>'[2]ГП-преходни 24 не отдадени '!AP30+'[2]ГП-2025 15.10.2024'!AP30</f>
        <v>0</v>
      </c>
      <c r="AQ30" s="445">
        <f>'[2]ГП-преходни 24 не отдадени '!AQ30+'[2]ГП-2025 15.10.2024'!AQ30</f>
        <v>9</v>
      </c>
      <c r="AR30" s="201"/>
    </row>
    <row r="31" spans="1:44">
      <c r="A31" s="107" t="s">
        <v>12</v>
      </c>
      <c r="B31" s="26">
        <f t="shared" ref="B31:H31" si="30">B30/B29*100</f>
        <v>53.317293233082694</v>
      </c>
      <c r="C31" s="26">
        <f t="shared" si="30"/>
        <v>50.961711306848819</v>
      </c>
      <c r="D31" s="26">
        <f t="shared" si="30"/>
        <v>51.319648093841643</v>
      </c>
      <c r="E31" s="26">
        <f t="shared" si="30"/>
        <v>90.941176470588232</v>
      </c>
      <c r="F31" s="26">
        <f t="shared" si="30"/>
        <v>42.730769230769234</v>
      </c>
      <c r="G31" s="26">
        <f t="shared" si="30"/>
        <v>47.390396659707726</v>
      </c>
      <c r="H31" s="77">
        <f t="shared" si="30"/>
        <v>49.73154362416107</v>
      </c>
      <c r="J31" s="369" t="s">
        <v>12</v>
      </c>
      <c r="K31" s="175">
        <f t="shared" ref="K31:Q31" si="31">K30/K29*100</f>
        <v>83.372365339578451</v>
      </c>
      <c r="L31" s="175">
        <f t="shared" si="31"/>
        <v>84.247967479674799</v>
      </c>
      <c r="M31" s="175">
        <f t="shared" si="31"/>
        <v>85.249709639953537</v>
      </c>
      <c r="N31" s="175">
        <f t="shared" si="31"/>
        <v>125</v>
      </c>
      <c r="O31" s="175">
        <f t="shared" si="31"/>
        <v>61.481481481481481</v>
      </c>
      <c r="P31" s="175">
        <f t="shared" si="31"/>
        <v>124.32432432432432</v>
      </c>
      <c r="Q31" s="371">
        <f t="shared" si="31"/>
        <v>89.604989604989598</v>
      </c>
      <c r="R31" s="449" t="s">
        <v>12</v>
      </c>
      <c r="S31" s="175">
        <f t="shared" ref="S31:Y31" si="32">S30/S29*100</f>
        <v>48.302277432712209</v>
      </c>
      <c r="T31" s="175">
        <f t="shared" si="32"/>
        <v>47.643462827844608</v>
      </c>
      <c r="U31" s="175">
        <f t="shared" si="32"/>
        <v>47.984049623393886</v>
      </c>
      <c r="V31" s="175">
        <f t="shared" si="32"/>
        <v>89.434889434889428</v>
      </c>
      <c r="W31" s="175">
        <f t="shared" si="32"/>
        <v>40.557939914163086</v>
      </c>
      <c r="X31" s="175">
        <f t="shared" si="32"/>
        <v>33.333333333333329</v>
      </c>
      <c r="Y31" s="371">
        <f t="shared" si="32"/>
        <v>46.06680051104216</v>
      </c>
      <c r="AA31" s="369" t="s">
        <v>12</v>
      </c>
      <c r="AB31" s="175">
        <f t="shared" ref="AB31:AH31" si="33">AB30/AB29*100</f>
        <v>593.93939393939399</v>
      </c>
      <c r="AC31" s="175">
        <f t="shared" si="33"/>
        <v>682.85714285714278</v>
      </c>
      <c r="AD31" s="175">
        <f t="shared" si="33"/>
        <v>697.6</v>
      </c>
      <c r="AE31" s="175">
        <f t="shared" si="33"/>
        <v>1628.5714285714284</v>
      </c>
      <c r="AF31" s="175">
        <f t="shared" si="33"/>
        <v>496.42857142857144</v>
      </c>
      <c r="AG31" s="175">
        <f t="shared" si="33"/>
        <v>200</v>
      </c>
      <c r="AH31" s="371">
        <f t="shared" si="33"/>
        <v>634.61538461538453</v>
      </c>
      <c r="AI31" s="21"/>
      <c r="AJ31" s="369" t="s">
        <v>12</v>
      </c>
      <c r="AK31" s="175" t="e">
        <f t="shared" ref="AK31:AQ31" si="34">AK30/AK29*100</f>
        <v>#DIV/0!</v>
      </c>
      <c r="AL31" s="175" t="e">
        <f t="shared" si="34"/>
        <v>#DIV/0!</v>
      </c>
      <c r="AM31" s="175" t="e">
        <f t="shared" si="34"/>
        <v>#DIV/0!</v>
      </c>
      <c r="AN31" s="175" t="e">
        <f t="shared" si="34"/>
        <v>#DIV/0!</v>
      </c>
      <c r="AO31" s="175" t="e">
        <f t="shared" si="34"/>
        <v>#DIV/0!</v>
      </c>
      <c r="AP31" s="175" t="e">
        <f t="shared" si="34"/>
        <v>#DIV/0!</v>
      </c>
      <c r="AQ31" s="371" t="e">
        <f t="shared" si="34"/>
        <v>#DIV/0!</v>
      </c>
    </row>
    <row r="32" spans="1:44">
      <c r="A32" s="107" t="s">
        <v>27</v>
      </c>
      <c r="B32" s="6">
        <f>K32+S32+AK32</f>
        <v>24.900000000000002</v>
      </c>
      <c r="C32" s="6">
        <f>L32+T32+AL32</f>
        <v>4629</v>
      </c>
      <c r="D32" s="6">
        <f>E32+F32+G32+H32</f>
        <v>3960</v>
      </c>
      <c r="E32" s="6">
        <f t="shared" ref="E32:H33" si="35">N32+V32+AN32</f>
        <v>2224</v>
      </c>
      <c r="F32" s="6">
        <f t="shared" si="35"/>
        <v>825</v>
      </c>
      <c r="G32" s="6">
        <f t="shared" si="35"/>
        <v>123</v>
      </c>
      <c r="H32" s="76">
        <f t="shared" si="35"/>
        <v>788</v>
      </c>
      <c r="J32" s="369" t="s">
        <v>27</v>
      </c>
      <c r="K32" s="93">
        <v>0.1</v>
      </c>
      <c r="L32" s="93">
        <v>13</v>
      </c>
      <c r="M32" s="93">
        <f>N32+O32+P32+Q32</f>
        <v>10</v>
      </c>
      <c r="N32" s="93">
        <v>2</v>
      </c>
      <c r="O32" s="93">
        <v>5</v>
      </c>
      <c r="P32" s="93">
        <v>1</v>
      </c>
      <c r="Q32" s="368">
        <v>2</v>
      </c>
      <c r="R32" s="449" t="s">
        <v>27</v>
      </c>
      <c r="S32" s="93">
        <v>24.8</v>
      </c>
      <c r="T32" s="93">
        <v>4616</v>
      </c>
      <c r="U32" s="30">
        <f>V32+W32+X32+Y32</f>
        <v>3950</v>
      </c>
      <c r="V32" s="93">
        <v>2222</v>
      </c>
      <c r="W32" s="93">
        <v>820</v>
      </c>
      <c r="X32" s="93">
        <v>122</v>
      </c>
      <c r="Y32" s="368">
        <v>786</v>
      </c>
      <c r="AA32" s="369" t="s">
        <v>27</v>
      </c>
      <c r="AB32" s="93">
        <v>24.7</v>
      </c>
      <c r="AC32" s="93">
        <v>4611</v>
      </c>
      <c r="AD32" s="93">
        <f>AE32+AF32+AG32+AH32</f>
        <v>3946</v>
      </c>
      <c r="AE32" s="93">
        <v>2219</v>
      </c>
      <c r="AF32" s="93">
        <v>820</v>
      </c>
      <c r="AG32" s="93">
        <v>122</v>
      </c>
      <c r="AH32" s="368">
        <v>785</v>
      </c>
      <c r="AI32" s="21"/>
      <c r="AJ32" s="369" t="s">
        <v>27</v>
      </c>
      <c r="AK32" s="93"/>
      <c r="AL32" s="93"/>
      <c r="AM32" s="93">
        <f>AN32+AO32+AP32+AQ32</f>
        <v>0</v>
      </c>
      <c r="AN32" s="93"/>
      <c r="AO32" s="93"/>
      <c r="AP32" s="93"/>
      <c r="AQ32" s="368"/>
    </row>
    <row r="33" spans="1:46">
      <c r="A33" s="107" t="s">
        <v>28</v>
      </c>
      <c r="B33" s="385">
        <f>K33+S33+AK33</f>
        <v>13.1</v>
      </c>
      <c r="C33" s="385">
        <f>L33+T33+AL33</f>
        <v>2958</v>
      </c>
      <c r="D33" s="385">
        <f>E33+F33+G33+H33</f>
        <v>2907</v>
      </c>
      <c r="E33" s="385">
        <f t="shared" si="35"/>
        <v>1975</v>
      </c>
      <c r="F33" s="385">
        <f t="shared" si="35"/>
        <v>513</v>
      </c>
      <c r="G33" s="385">
        <f t="shared" si="35"/>
        <v>45</v>
      </c>
      <c r="H33" s="419">
        <f t="shared" si="35"/>
        <v>374</v>
      </c>
      <c r="I33" s="53"/>
      <c r="J33" s="427" t="s">
        <v>28</v>
      </c>
      <c r="K33" s="445">
        <f>'[2]ГП-преходни 24 не отдадени '!K33+'[2]ГП-2025 15.10.2024'!K33</f>
        <v>0</v>
      </c>
      <c r="L33" s="445">
        <f>'[2]ГП-преходни 24 не отдадени '!L33+'[2]ГП-2025 15.10.2024'!L33</f>
        <v>0</v>
      </c>
      <c r="M33" s="421">
        <f>N33+O33+P33+Q33</f>
        <v>0</v>
      </c>
      <c r="N33" s="445">
        <f>'[2]ГП-преходни 24 не отдадени '!N33+'[2]ГП-2025 15.10.2024'!N33</f>
        <v>0</v>
      </c>
      <c r="O33" s="445">
        <f>'[2]ГП-преходни 24 не отдадени '!O33+'[2]ГП-2025 15.10.2024'!O33</f>
        <v>0</v>
      </c>
      <c r="P33" s="445">
        <f>'[2]ГП-преходни 24 не отдадени '!P33+'[2]ГП-2025 15.10.2024'!P33</f>
        <v>0</v>
      </c>
      <c r="Q33" s="445">
        <f>'[2]ГП-преходни 24 не отдадени '!Q33+'[2]ГП-2025 15.10.2024'!Q33</f>
        <v>0</v>
      </c>
      <c r="R33" s="450" t="s">
        <v>28</v>
      </c>
      <c r="S33" s="445">
        <f>'[2]ГП-преходни 24 не отдадени '!S33+'[2]ГП-2025 15.10.2024'!S33</f>
        <v>13.1</v>
      </c>
      <c r="T33" s="445">
        <f>'[2]ГП-преходни 24 не отдадени '!T33+'[2]ГП-2025 15.10.2024'!T33</f>
        <v>2958</v>
      </c>
      <c r="U33" s="421">
        <f>V33+W33+X33+Y33</f>
        <v>2907</v>
      </c>
      <c r="V33" s="445">
        <f>'[2]ГП-преходни 24 не отдадени '!V33+'[2]ГП-2025 15.10.2024'!V33</f>
        <v>1975</v>
      </c>
      <c r="W33" s="445">
        <f>'[2]ГП-преходни 24 не отдадени '!W33+'[2]ГП-2025 15.10.2024'!W33</f>
        <v>513</v>
      </c>
      <c r="X33" s="445">
        <f>'[2]ГП-преходни 24 не отдадени '!X33+'[2]ГП-2025 15.10.2024'!X33</f>
        <v>45</v>
      </c>
      <c r="Y33" s="445">
        <f>'[2]ГП-преходни 24 не отдадени '!Y33+'[2]ГП-2025 15.10.2024'!Y33</f>
        <v>374</v>
      </c>
      <c r="Z33" s="422"/>
      <c r="AA33" s="427" t="s">
        <v>28</v>
      </c>
      <c r="AB33" s="445">
        <f>'[2]ГП-преходни 24 не отдадени '!AB33+'[2]ГП-2025 15.10.2024'!AB33</f>
        <v>12</v>
      </c>
      <c r="AC33" s="445">
        <f>'[2]ГП-преходни 24 не отдадени '!AC33+'[2]ГП-2025 15.10.2024'!AC33</f>
        <v>2951</v>
      </c>
      <c r="AD33" s="421">
        <f>AE33+AF33+AG33+AH33</f>
        <v>2900</v>
      </c>
      <c r="AE33" s="445">
        <f>'[2]ГП-преходни 24 не отдадени '!AE33+'[2]ГП-2025 15.10.2024'!AE33</f>
        <v>1975</v>
      </c>
      <c r="AF33" s="445">
        <f>'[2]ГП-преходни 24 не отдадени '!AF33+'[2]ГП-2025 15.10.2024'!AF33</f>
        <v>513</v>
      </c>
      <c r="AG33" s="445">
        <f>'[2]ГП-преходни 24 не отдадени '!AG33+'[2]ГП-2025 15.10.2024'!AG33</f>
        <v>45</v>
      </c>
      <c r="AH33" s="445">
        <f>'[2]ГП-преходни 24 не отдадени '!AH33+'[2]ГП-2025 15.10.2024'!AH33</f>
        <v>367</v>
      </c>
      <c r="AI33" s="21"/>
      <c r="AJ33" s="427" t="s">
        <v>28</v>
      </c>
      <c r="AK33" s="445">
        <f>'[2]ГП-преходни 24 не отдадени '!AK33+'[2]ГП-2025 15.10.2024'!AK33</f>
        <v>0</v>
      </c>
      <c r="AL33" s="445">
        <f>'[2]ГП-преходни 24 не отдадени '!AL33+'[2]ГП-2025 15.10.2024'!AL33</f>
        <v>0</v>
      </c>
      <c r="AM33" s="421">
        <f>AN33+AO33+AP33+AQ33</f>
        <v>0</v>
      </c>
      <c r="AN33" s="445">
        <f>'[2]ГП-преходни 24 не отдадени '!AN33+'[2]ГП-2025 15.10.2024'!AN33</f>
        <v>0</v>
      </c>
      <c r="AO33" s="445">
        <f>'[2]ГП-преходни 24 не отдадени '!AO33+'[2]ГП-2025 15.10.2024'!AO33</f>
        <v>0</v>
      </c>
      <c r="AP33" s="445">
        <f>'[2]ГП-преходни 24 не отдадени '!AP33+'[2]ГП-2025 15.10.2024'!AP33</f>
        <v>0</v>
      </c>
      <c r="AQ33" s="445">
        <f>'[2]ГП-преходни 24 не отдадени '!AQ33+'[2]ГП-2025 15.10.2024'!AQ33</f>
        <v>0</v>
      </c>
      <c r="AR33" s="201"/>
    </row>
    <row r="34" spans="1:46">
      <c r="A34" s="107" t="s">
        <v>12</v>
      </c>
      <c r="B34" s="26">
        <f t="shared" ref="B34:H34" si="36">B33/B32*100</f>
        <v>52.610441767068274</v>
      </c>
      <c r="C34" s="26">
        <f t="shared" si="36"/>
        <v>63.901490602721964</v>
      </c>
      <c r="D34" s="26">
        <f t="shared" si="36"/>
        <v>73.409090909090907</v>
      </c>
      <c r="E34" s="26">
        <f t="shared" si="36"/>
        <v>88.803956834532372</v>
      </c>
      <c r="F34" s="26">
        <f t="shared" si="36"/>
        <v>62.18181818181818</v>
      </c>
      <c r="G34" s="26">
        <f t="shared" si="36"/>
        <v>36.585365853658537</v>
      </c>
      <c r="H34" s="77">
        <f t="shared" si="36"/>
        <v>47.461928934010153</v>
      </c>
      <c r="J34" s="369" t="s">
        <v>12</v>
      </c>
      <c r="K34" s="175">
        <f>K33/K32*100</f>
        <v>0</v>
      </c>
      <c r="L34" s="175">
        <f>L33/L32*100</f>
        <v>0</v>
      </c>
      <c r="M34" s="175">
        <v>0</v>
      </c>
      <c r="N34" s="175">
        <f>N33/N32*100</f>
        <v>0</v>
      </c>
      <c r="O34" s="175">
        <f>O33/O32*100</f>
        <v>0</v>
      </c>
      <c r="P34" s="175">
        <f>P33/P32*100</f>
        <v>0</v>
      </c>
      <c r="Q34" s="371">
        <f>Q33/Q32*100</f>
        <v>0</v>
      </c>
      <c r="R34" s="449" t="s">
        <v>12</v>
      </c>
      <c r="S34" s="175">
        <f>S33/S32*100</f>
        <v>52.822580645161288</v>
      </c>
      <c r="T34" s="175">
        <f>T33/T32*100</f>
        <v>64.081455805892546</v>
      </c>
      <c r="U34" s="175">
        <v>0</v>
      </c>
      <c r="V34" s="175">
        <f>V33/V32*100</f>
        <v>88.883888388838884</v>
      </c>
      <c r="W34" s="175">
        <f>W33/W32*100</f>
        <v>62.560975609756099</v>
      </c>
      <c r="X34" s="175">
        <f>X33/X32*100</f>
        <v>36.885245901639344</v>
      </c>
      <c r="Y34" s="371">
        <f>Y33/Y32*100</f>
        <v>47.582697201017808</v>
      </c>
      <c r="AA34" s="369" t="s">
        <v>12</v>
      </c>
      <c r="AB34" s="175">
        <f>AB33/AB32*100</f>
        <v>48.582995951417004</v>
      </c>
      <c r="AC34" s="175">
        <f>AC33/AC32*100</f>
        <v>63.999132509217091</v>
      </c>
      <c r="AD34" s="175">
        <v>0</v>
      </c>
      <c r="AE34" s="175">
        <f>AE33/AE32*100</f>
        <v>89.004055881027483</v>
      </c>
      <c r="AF34" s="175">
        <f>AF33/AF32*100</f>
        <v>62.560975609756099</v>
      </c>
      <c r="AG34" s="175">
        <f>AG33/AG32*100</f>
        <v>36.885245901639344</v>
      </c>
      <c r="AH34" s="371">
        <f>AH33/AH32*100</f>
        <v>46.751592356687901</v>
      </c>
      <c r="AI34" s="21"/>
      <c r="AJ34" s="369" t="s">
        <v>12</v>
      </c>
      <c r="AK34" s="175" t="e">
        <f>AK33/AK32*100</f>
        <v>#DIV/0!</v>
      </c>
      <c r="AL34" s="175" t="e">
        <f>AL33/AL32*100</f>
        <v>#DIV/0!</v>
      </c>
      <c r="AM34" s="175">
        <v>0</v>
      </c>
      <c r="AN34" s="175" t="e">
        <f>AN33/AN32*100</f>
        <v>#DIV/0!</v>
      </c>
      <c r="AO34" s="175" t="e">
        <f>AO33/AO32*100</f>
        <v>#DIV/0!</v>
      </c>
      <c r="AP34" s="175" t="e">
        <f>AP33/AP32*100</f>
        <v>#DIV/0!</v>
      </c>
      <c r="AQ34" s="371" t="e">
        <f>AQ33/AQ32*100</f>
        <v>#DIV/0!</v>
      </c>
    </row>
    <row r="35" spans="1:46">
      <c r="A35" s="107" t="s">
        <v>29</v>
      </c>
      <c r="B35" s="6">
        <f>K35+S35+AK35</f>
        <v>252.9</v>
      </c>
      <c r="C35" s="6">
        <f>L35+T35+AL35</f>
        <v>26502</v>
      </c>
      <c r="D35" s="6">
        <f>E35+F35+G35+H35</f>
        <v>23315</v>
      </c>
      <c r="E35" s="6">
        <f t="shared" ref="E35:H36" si="37">N35+V35+AN35</f>
        <v>2147</v>
      </c>
      <c r="F35" s="6">
        <f t="shared" si="37"/>
        <v>6798</v>
      </c>
      <c r="G35" s="6">
        <f t="shared" si="37"/>
        <v>1812</v>
      </c>
      <c r="H35" s="76">
        <f t="shared" si="37"/>
        <v>12558</v>
      </c>
      <c r="J35" s="369" t="s">
        <v>29</v>
      </c>
      <c r="K35" s="93">
        <v>1.1000000000000001</v>
      </c>
      <c r="L35" s="93">
        <v>86</v>
      </c>
      <c r="M35" s="93">
        <f>N35+O35+P35+Q35</f>
        <v>76</v>
      </c>
      <c r="N35" s="93">
        <v>3</v>
      </c>
      <c r="O35" s="93">
        <v>20</v>
      </c>
      <c r="P35" s="93">
        <v>6</v>
      </c>
      <c r="Q35" s="368">
        <v>47</v>
      </c>
      <c r="R35" s="449" t="s">
        <v>29</v>
      </c>
      <c r="S35" s="93">
        <v>251.8</v>
      </c>
      <c r="T35" s="93">
        <v>26416</v>
      </c>
      <c r="U35" s="30">
        <f>V35+W35+X35+Y35</f>
        <v>23239</v>
      </c>
      <c r="V35" s="93">
        <v>2144</v>
      </c>
      <c r="W35" s="93">
        <v>6778</v>
      </c>
      <c r="X35" s="93">
        <v>1806</v>
      </c>
      <c r="Y35" s="368">
        <v>12511</v>
      </c>
      <c r="AA35" s="369" t="s">
        <v>29</v>
      </c>
      <c r="AB35" s="93">
        <v>0.9</v>
      </c>
      <c r="AC35" s="93">
        <v>47</v>
      </c>
      <c r="AD35" s="93">
        <f>AE35+AF35+AG35+AH35</f>
        <v>17</v>
      </c>
      <c r="AE35" s="93">
        <v>3</v>
      </c>
      <c r="AF35" s="93">
        <v>10</v>
      </c>
      <c r="AG35" s="93">
        <v>3</v>
      </c>
      <c r="AH35" s="368">
        <v>1</v>
      </c>
      <c r="AI35" s="21"/>
      <c r="AJ35" s="369" t="s">
        <v>29</v>
      </c>
      <c r="AK35" s="93"/>
      <c r="AL35" s="93"/>
      <c r="AM35" s="93">
        <f>AN35+AO35+AP35+AQ35</f>
        <v>0</v>
      </c>
      <c r="AN35" s="93"/>
      <c r="AO35" s="93"/>
      <c r="AP35" s="93"/>
      <c r="AQ35" s="368"/>
    </row>
    <row r="36" spans="1:46">
      <c r="A36" s="107" t="s">
        <v>30</v>
      </c>
      <c r="B36" s="385">
        <f>K36+S36+AK36</f>
        <v>311.44999999999993</v>
      </c>
      <c r="C36" s="385">
        <f>L36+T36+AL36</f>
        <v>25388</v>
      </c>
      <c r="D36" s="385">
        <f>E36+F36+G36+H36</f>
        <v>24486</v>
      </c>
      <c r="E36" s="385">
        <f t="shared" si="37"/>
        <v>1020</v>
      </c>
      <c r="F36" s="385">
        <f t="shared" si="37"/>
        <v>8958</v>
      </c>
      <c r="G36" s="385">
        <f t="shared" si="37"/>
        <v>1873</v>
      </c>
      <c r="H36" s="419">
        <f t="shared" si="37"/>
        <v>12635</v>
      </c>
      <c r="I36" s="53"/>
      <c r="J36" s="427" t="s">
        <v>30</v>
      </c>
      <c r="K36" s="445">
        <f>'[2]ГП-преходни 24 не отдадени '!K36+'[2]ГП-2025 15.10.2024'!K36</f>
        <v>1.7</v>
      </c>
      <c r="L36" s="445">
        <f>'[2]ГП-преходни 24 не отдадени '!L36+'[2]ГП-2025 15.10.2024'!L36</f>
        <v>98</v>
      </c>
      <c r="M36" s="421">
        <f>N36+O36+P36+Q36</f>
        <v>98</v>
      </c>
      <c r="N36" s="445">
        <f>'[2]ГП-преходни 24 не отдадени '!N36+'[2]ГП-2025 15.10.2024'!N36</f>
        <v>1</v>
      </c>
      <c r="O36" s="445">
        <f>'[2]ГП-преходни 24 не отдадени '!O36+'[2]ГП-2025 15.10.2024'!O36</f>
        <v>0</v>
      </c>
      <c r="P36" s="445">
        <f>'[2]ГП-преходни 24 не отдадени '!P36+'[2]ГП-2025 15.10.2024'!P36</f>
        <v>0</v>
      </c>
      <c r="Q36" s="445">
        <f>'[2]ГП-преходни 24 не отдадени '!Q36+'[2]ГП-2025 15.10.2024'!Q36</f>
        <v>97</v>
      </c>
      <c r="R36" s="450" t="s">
        <v>30</v>
      </c>
      <c r="S36" s="445">
        <f>'[2]ГП-преходни 24 не отдадени '!S36+'[2]ГП-2025 15.10.2024'!S36</f>
        <v>309.73999999999995</v>
      </c>
      <c r="T36" s="445">
        <f>'[2]ГП-преходни 24 не отдадени '!T36+'[2]ГП-2025 15.10.2024'!T36</f>
        <v>25289</v>
      </c>
      <c r="U36" s="421">
        <f>V36+W36+X36+Y36</f>
        <v>24387</v>
      </c>
      <c r="V36" s="445">
        <f>'[2]ГП-преходни 24 не отдадени '!V36+'[2]ГП-2025 15.10.2024'!V36</f>
        <v>1019</v>
      </c>
      <c r="W36" s="445">
        <f>'[2]ГП-преходни 24 не отдадени '!W36+'[2]ГП-2025 15.10.2024'!W36</f>
        <v>8958</v>
      </c>
      <c r="X36" s="445">
        <f>'[2]ГП-преходни 24 не отдадени '!X36+'[2]ГП-2025 15.10.2024'!X36</f>
        <v>1873</v>
      </c>
      <c r="Y36" s="445">
        <f>'[2]ГП-преходни 24 не отдадени '!Y36+'[2]ГП-2025 15.10.2024'!Y36</f>
        <v>12537</v>
      </c>
      <c r="Z36" s="422"/>
      <c r="AA36" s="427" t="s">
        <v>30</v>
      </c>
      <c r="AB36" s="445">
        <f>'[2]ГП-преходни 24 не отдадени '!AB36+'[2]ГП-2025 15.10.2024'!AB36</f>
        <v>0</v>
      </c>
      <c r="AC36" s="445">
        <f>'[2]ГП-преходни 24 не отдадени '!AC36+'[2]ГП-2025 15.10.2024'!AC36</f>
        <v>0</v>
      </c>
      <c r="AD36" s="421">
        <f>AE36+AF36+AG36+AH36</f>
        <v>0</v>
      </c>
      <c r="AE36" s="445">
        <f>'[2]ГП-преходни 24 не отдадени '!AE36+'[2]ГП-2025 15.10.2024'!AE36</f>
        <v>0</v>
      </c>
      <c r="AF36" s="445">
        <f>'[2]ГП-преходни 24 не отдадени '!AF36+'[2]ГП-2025 15.10.2024'!AF36</f>
        <v>0</v>
      </c>
      <c r="AG36" s="445">
        <f>'[2]ГП-преходни 24 не отдадени '!AG36+'[2]ГП-2025 15.10.2024'!AG36</f>
        <v>0</v>
      </c>
      <c r="AH36" s="445">
        <f>'[2]ГП-преходни 24 не отдадени '!AH36+'[2]ГП-2025 15.10.2024'!AH36</f>
        <v>0</v>
      </c>
      <c r="AI36" s="21"/>
      <c r="AJ36" s="427" t="s">
        <v>30</v>
      </c>
      <c r="AK36" s="445">
        <f>'[2]ГП-преходни 24 не отдадени '!AK36+'[2]ГП-2025 15.10.2024'!AK36</f>
        <v>0.01</v>
      </c>
      <c r="AL36" s="445">
        <f>'[2]ГП-преходни 24 не отдадени '!AL36+'[2]ГП-2025 15.10.2024'!AL36</f>
        <v>1</v>
      </c>
      <c r="AM36" s="421">
        <f>AN36+AO36+AP36+AQ36</f>
        <v>1</v>
      </c>
      <c r="AN36" s="445">
        <f>'[2]ГП-преходни 24 не отдадени '!AN36+'[2]ГП-2025 15.10.2024'!AN36</f>
        <v>0</v>
      </c>
      <c r="AO36" s="445">
        <f>'[2]ГП-преходни 24 не отдадени '!AO36+'[2]ГП-2025 15.10.2024'!AO36</f>
        <v>0</v>
      </c>
      <c r="AP36" s="445">
        <f>'[2]ГП-преходни 24 не отдадени '!AP36+'[2]ГП-2025 15.10.2024'!AP36</f>
        <v>0</v>
      </c>
      <c r="AQ36" s="445">
        <f>'[2]ГП-преходни 24 не отдадени '!AQ36+'[2]ГП-2025 15.10.2024'!AQ36</f>
        <v>1</v>
      </c>
      <c r="AR36" s="201"/>
    </row>
    <row r="37" spans="1:46">
      <c r="A37" s="107" t="s">
        <v>12</v>
      </c>
      <c r="B37" s="26">
        <f t="shared" ref="B37:H37" si="38">B36/B35*100</f>
        <v>123.15144325820479</v>
      </c>
      <c r="C37" s="26">
        <f t="shared" si="38"/>
        <v>95.796543657082495</v>
      </c>
      <c r="D37" s="26">
        <f t="shared" si="38"/>
        <v>105.02251769247266</v>
      </c>
      <c r="E37" s="26">
        <f t="shared" si="38"/>
        <v>47.508150908244062</v>
      </c>
      <c r="F37" s="26">
        <f t="shared" si="38"/>
        <v>131.77405119152692</v>
      </c>
      <c r="G37" s="26">
        <f t="shared" si="38"/>
        <v>103.36644591611478</v>
      </c>
      <c r="H37" s="77">
        <f t="shared" si="38"/>
        <v>100.61315496098105</v>
      </c>
      <c r="J37" s="369" t="s">
        <v>12</v>
      </c>
      <c r="K37" s="175">
        <f>K36/K35*100</f>
        <v>154.54545454545453</v>
      </c>
      <c r="L37" s="175">
        <f>L36/L35*100</f>
        <v>113.95348837209302</v>
      </c>
      <c r="M37" s="175">
        <v>0</v>
      </c>
      <c r="N37" s="175">
        <f>N36/N35*100</f>
        <v>33.333333333333329</v>
      </c>
      <c r="O37" s="175">
        <f>O36/O35*100</f>
        <v>0</v>
      </c>
      <c r="P37" s="175">
        <f>P36/P35*100</f>
        <v>0</v>
      </c>
      <c r="Q37" s="371">
        <f>Q36/Q35*100</f>
        <v>206.38297872340425</v>
      </c>
      <c r="R37" s="449" t="s">
        <v>12</v>
      </c>
      <c r="S37" s="175">
        <f>S36/S35*100</f>
        <v>123.01032565528193</v>
      </c>
      <c r="T37" s="175">
        <f>T36/T35*100</f>
        <v>95.733646274984864</v>
      </c>
      <c r="U37" s="175">
        <v>0</v>
      </c>
      <c r="V37" s="175">
        <f>V36/V35*100</f>
        <v>47.527985074626869</v>
      </c>
      <c r="W37" s="175">
        <f>W36/W35*100</f>
        <v>132.16287990557686</v>
      </c>
      <c r="X37" s="175">
        <f>X36/X35*100</f>
        <v>103.70985603543743</v>
      </c>
      <c r="Y37" s="371">
        <f>Y36/Y35*100</f>
        <v>100.20781712093358</v>
      </c>
      <c r="AA37" s="369" t="s">
        <v>12</v>
      </c>
      <c r="AB37" s="175">
        <f>AB36/AB35*100</f>
        <v>0</v>
      </c>
      <c r="AC37" s="175">
        <f>AC36/AC35*100</f>
        <v>0</v>
      </c>
      <c r="AD37" s="175">
        <v>0</v>
      </c>
      <c r="AE37" s="175">
        <f>AE36/AE35*100</f>
        <v>0</v>
      </c>
      <c r="AF37" s="175">
        <f>AF36/AF35*100</f>
        <v>0</v>
      </c>
      <c r="AG37" s="175">
        <f>AG36/AG35*100</f>
        <v>0</v>
      </c>
      <c r="AH37" s="371">
        <f>AH36/AH35*100</f>
        <v>0</v>
      </c>
      <c r="AI37" s="21"/>
      <c r="AJ37" s="369" t="s">
        <v>12</v>
      </c>
      <c r="AK37" s="175" t="e">
        <f>AK36/AK35*100</f>
        <v>#DIV/0!</v>
      </c>
      <c r="AL37" s="175" t="e">
        <f>AL36/AL35*100</f>
        <v>#DIV/0!</v>
      </c>
      <c r="AM37" s="175">
        <v>0</v>
      </c>
      <c r="AN37" s="175" t="e">
        <f>AN36/AN35*100</f>
        <v>#DIV/0!</v>
      </c>
      <c r="AO37" s="175" t="e">
        <f>AO36/AO35*100</f>
        <v>#DIV/0!</v>
      </c>
      <c r="AP37" s="175" t="e">
        <f>AP36/AP35*100</f>
        <v>#DIV/0!</v>
      </c>
      <c r="AQ37" s="371" t="e">
        <f>AQ36/AQ35*100</f>
        <v>#DIV/0!</v>
      </c>
    </row>
    <row r="38" spans="1:46">
      <c r="A38" s="107" t="s">
        <v>31</v>
      </c>
      <c r="B38" s="6">
        <f>K38+S38+AK38</f>
        <v>129</v>
      </c>
      <c r="C38" s="6">
        <f>L38+T38+AL38</f>
        <v>6718</v>
      </c>
      <c r="D38" s="6">
        <f>E38+F38+G38+H38</f>
        <v>5435</v>
      </c>
      <c r="E38" s="6">
        <f t="shared" ref="E38:H39" si="39">N38+V38+AN38</f>
        <v>722</v>
      </c>
      <c r="F38" s="6">
        <f t="shared" si="39"/>
        <v>1232</v>
      </c>
      <c r="G38" s="6">
        <f t="shared" si="39"/>
        <v>257</v>
      </c>
      <c r="H38" s="76">
        <f t="shared" si="39"/>
        <v>3224</v>
      </c>
      <c r="J38" s="369" t="s">
        <v>31</v>
      </c>
      <c r="K38" s="93">
        <v>89.4</v>
      </c>
      <c r="L38" s="93">
        <v>4080</v>
      </c>
      <c r="M38" s="30">
        <f>N38+O38+P38+Q38</f>
        <v>3354</v>
      </c>
      <c r="N38" s="93">
        <v>473</v>
      </c>
      <c r="O38" s="93">
        <v>877</v>
      </c>
      <c r="P38" s="93">
        <v>205</v>
      </c>
      <c r="Q38" s="368">
        <v>1799</v>
      </c>
      <c r="R38" s="449" t="s">
        <v>31</v>
      </c>
      <c r="S38" s="93">
        <v>39.6</v>
      </c>
      <c r="T38" s="93">
        <v>2638</v>
      </c>
      <c r="U38" s="30">
        <f>V38+W38+X38+Y38</f>
        <v>2081</v>
      </c>
      <c r="V38" s="93">
        <v>249</v>
      </c>
      <c r="W38" s="93">
        <v>355</v>
      </c>
      <c r="X38" s="93">
        <v>52</v>
      </c>
      <c r="Y38" s="368">
        <v>1425</v>
      </c>
      <c r="AA38" s="369" t="s">
        <v>31</v>
      </c>
      <c r="AB38" s="93">
        <v>11.4</v>
      </c>
      <c r="AC38" s="93">
        <v>712</v>
      </c>
      <c r="AD38" s="30">
        <f>AE38+AF38+AG38+AH38</f>
        <v>601</v>
      </c>
      <c r="AE38" s="93">
        <v>119</v>
      </c>
      <c r="AF38" s="93">
        <v>125</v>
      </c>
      <c r="AG38" s="93">
        <v>20</v>
      </c>
      <c r="AH38" s="368">
        <v>337</v>
      </c>
      <c r="AI38" s="21"/>
      <c r="AJ38" s="369" t="s">
        <v>31</v>
      </c>
      <c r="AK38" s="93"/>
      <c r="AL38" s="93"/>
      <c r="AM38" s="30">
        <f>AN38+AO38+AP38+AQ38</f>
        <v>0</v>
      </c>
      <c r="AN38" s="93"/>
      <c r="AO38" s="93"/>
      <c r="AP38" s="93"/>
      <c r="AQ38" s="368"/>
    </row>
    <row r="39" spans="1:46">
      <c r="A39" s="107" t="s">
        <v>32</v>
      </c>
      <c r="B39" s="385">
        <f>K39+S39+AK39</f>
        <v>207.22</v>
      </c>
      <c r="C39" s="385">
        <f>L39+T39+AL39</f>
        <v>8426</v>
      </c>
      <c r="D39" s="385">
        <f>E39+F39+G39+H39</f>
        <v>7789</v>
      </c>
      <c r="E39" s="385">
        <f t="shared" si="39"/>
        <v>1557</v>
      </c>
      <c r="F39" s="385">
        <f t="shared" si="39"/>
        <v>1117</v>
      </c>
      <c r="G39" s="385">
        <f t="shared" si="39"/>
        <v>373</v>
      </c>
      <c r="H39" s="419">
        <f t="shared" si="39"/>
        <v>4742</v>
      </c>
      <c r="I39" s="53"/>
      <c r="J39" s="427" t="s">
        <v>32</v>
      </c>
      <c r="K39" s="445">
        <f>'[2]ГП-преходни 24 не отдадени '!K39+'[2]ГП-2025 15.10.2024'!K39</f>
        <v>89.05</v>
      </c>
      <c r="L39" s="445">
        <f>'[2]ГП-преходни 24 не отдадени '!L39+'[2]ГП-2025 15.10.2024'!L39</f>
        <v>2405</v>
      </c>
      <c r="M39" s="421">
        <f>N39+O39+P39+Q39</f>
        <v>2302</v>
      </c>
      <c r="N39" s="445">
        <f>'[2]ГП-преходни 24 не отдадени '!N39+'[2]ГП-2025 15.10.2024'!N39</f>
        <v>254</v>
      </c>
      <c r="O39" s="445">
        <f>'[2]ГП-преходни 24 не отдадени '!O39+'[2]ГП-2025 15.10.2024'!O39</f>
        <v>414</v>
      </c>
      <c r="P39" s="445">
        <f>'[2]ГП-преходни 24 не отдадени '!P39+'[2]ГП-2025 15.10.2024'!P39</f>
        <v>69</v>
      </c>
      <c r="Q39" s="445">
        <f>'[2]ГП-преходни 24 не отдадени '!Q39+'[2]ГП-2025 15.10.2024'!Q39</f>
        <v>1565</v>
      </c>
      <c r="R39" s="450" t="s">
        <v>32</v>
      </c>
      <c r="S39" s="445">
        <f>'[2]ГП-преходни 24 не отдадени '!S39+'[2]ГП-2025 15.10.2024'!S39</f>
        <v>92.88000000000001</v>
      </c>
      <c r="T39" s="445">
        <f>'[2]ГП-преходни 24 не отдадени '!T39+'[2]ГП-2025 15.10.2024'!T39</f>
        <v>5234</v>
      </c>
      <c r="U39" s="421">
        <f>V39+W39+X39+Y39</f>
        <v>4712</v>
      </c>
      <c r="V39" s="445">
        <f>'[2]ГП-преходни 24 не отдадени '!V39+'[2]ГП-2025 15.10.2024'!V39</f>
        <v>1120</v>
      </c>
      <c r="W39" s="445">
        <f>'[2]ГП-преходни 24 не отдадени '!W39+'[2]ГП-2025 15.10.2024'!W39</f>
        <v>672</v>
      </c>
      <c r="X39" s="445">
        <f>'[2]ГП-преходни 24 не отдадени '!X39+'[2]ГП-2025 15.10.2024'!X39</f>
        <v>304</v>
      </c>
      <c r="Y39" s="445">
        <f>'[2]ГП-преходни 24 не отдадени '!Y39+'[2]ГП-2025 15.10.2024'!Y39</f>
        <v>2616</v>
      </c>
      <c r="Z39" s="422"/>
      <c r="AA39" s="427" t="s">
        <v>32</v>
      </c>
      <c r="AB39" s="445">
        <f>'[2]ГП-преходни 24 не отдадени '!AB39+'[2]ГП-2025 15.10.2024'!AB39</f>
        <v>62.8</v>
      </c>
      <c r="AC39" s="445">
        <f>'[2]ГП-преходни 24 не отдадени '!AC39+'[2]ГП-2025 15.10.2024'!AC39</f>
        <v>3505</v>
      </c>
      <c r="AD39" s="421">
        <f>AE39+AF39+AG39+AH39</f>
        <v>3116</v>
      </c>
      <c r="AE39" s="445">
        <f>'[2]ГП-преходни 24 не отдадени '!AE39+'[2]ГП-2025 15.10.2024'!AE39</f>
        <v>821</v>
      </c>
      <c r="AF39" s="445">
        <f>'[2]ГП-преходни 24 не отдадени '!AF39+'[2]ГП-2025 15.10.2024'!AF39</f>
        <v>452</v>
      </c>
      <c r="AG39" s="445">
        <f>'[2]ГП-преходни 24 не отдадени '!AG39+'[2]ГП-2025 15.10.2024'!AG39</f>
        <v>272</v>
      </c>
      <c r="AH39" s="445">
        <f>'[2]ГП-преходни 24 не отдадени '!AH39+'[2]ГП-2025 15.10.2024'!AH39</f>
        <v>1571</v>
      </c>
      <c r="AI39" s="21"/>
      <c r="AJ39" s="427" t="s">
        <v>32</v>
      </c>
      <c r="AK39" s="445">
        <f>'[2]ГП-преходни 24 не отдадени '!AK39+'[2]ГП-2025 15.10.2024'!AK39</f>
        <v>25.29</v>
      </c>
      <c r="AL39" s="445">
        <f>'[2]ГП-преходни 24 не отдадени '!AL39+'[2]ГП-2025 15.10.2024'!AL39</f>
        <v>787</v>
      </c>
      <c r="AM39" s="421">
        <f>AN39+AO39+AP39+AQ39</f>
        <v>775</v>
      </c>
      <c r="AN39" s="445">
        <f>'[2]ГП-преходни 24 не отдадени '!AN39+'[2]ГП-2025 15.10.2024'!AN39</f>
        <v>183</v>
      </c>
      <c r="AO39" s="445">
        <f>'[2]ГП-преходни 24 не отдадени '!AO39+'[2]ГП-2025 15.10.2024'!AO39</f>
        <v>31</v>
      </c>
      <c r="AP39" s="445">
        <f>'[2]ГП-преходни 24 не отдадени '!AP39+'[2]ГП-2025 15.10.2024'!AP39</f>
        <v>0</v>
      </c>
      <c r="AQ39" s="445">
        <f>'[2]ГП-преходни 24 не отдадени '!AQ39+'[2]ГП-2025 15.10.2024'!AQ39</f>
        <v>561</v>
      </c>
      <c r="AR39" s="201"/>
      <c r="AT39" t="s">
        <v>70</v>
      </c>
    </row>
    <row r="40" spans="1:46" ht="13.8" thickBot="1">
      <c r="A40" s="108" t="s">
        <v>12</v>
      </c>
      <c r="B40" s="78">
        <f t="shared" ref="B40:H40" si="40">B39/B38*100</f>
        <v>160.63565891472868</v>
      </c>
      <c r="C40" s="78">
        <f t="shared" si="40"/>
        <v>125.42423340279845</v>
      </c>
      <c r="D40" s="78">
        <f t="shared" si="40"/>
        <v>143.31186752529899</v>
      </c>
      <c r="E40" s="78">
        <f t="shared" si="40"/>
        <v>215.6509695290859</v>
      </c>
      <c r="F40" s="78">
        <f t="shared" si="40"/>
        <v>90.665584415584405</v>
      </c>
      <c r="G40" s="78">
        <f t="shared" si="40"/>
        <v>145.136186770428</v>
      </c>
      <c r="H40" s="372">
        <f t="shared" si="40"/>
        <v>147.08436724565757</v>
      </c>
      <c r="J40" s="373" t="s">
        <v>12</v>
      </c>
      <c r="K40" s="374">
        <f t="shared" ref="K40:Q40" si="41">K39/K38*100</f>
        <v>99.608501118568228</v>
      </c>
      <c r="L40" s="374">
        <f t="shared" si="41"/>
        <v>58.946078431372548</v>
      </c>
      <c r="M40" s="374">
        <f t="shared" si="41"/>
        <v>68.63446630888491</v>
      </c>
      <c r="N40" s="374">
        <f t="shared" si="41"/>
        <v>53.699788583509509</v>
      </c>
      <c r="O40" s="374">
        <f t="shared" si="41"/>
        <v>47.206385404789053</v>
      </c>
      <c r="P40" s="374">
        <f t="shared" si="41"/>
        <v>33.658536585365859</v>
      </c>
      <c r="Q40" s="375">
        <f t="shared" si="41"/>
        <v>86.992773763201782</v>
      </c>
      <c r="R40" s="451" t="s">
        <v>12</v>
      </c>
      <c r="S40" s="374">
        <f t="shared" ref="S40:Y40" si="42">S39/S38*100</f>
        <v>234.54545454545456</v>
      </c>
      <c r="T40" s="374">
        <f>T39/T38*100</f>
        <v>198.40788476118271</v>
      </c>
      <c r="U40" s="374">
        <f t="shared" si="42"/>
        <v>226.42960115329169</v>
      </c>
      <c r="V40" s="374">
        <f t="shared" si="42"/>
        <v>449.79919678714862</v>
      </c>
      <c r="W40" s="374">
        <f t="shared" si="42"/>
        <v>189.29577464788733</v>
      </c>
      <c r="X40" s="374">
        <f t="shared" si="42"/>
        <v>584.61538461538453</v>
      </c>
      <c r="Y40" s="375">
        <f t="shared" si="42"/>
        <v>183.57894736842104</v>
      </c>
      <c r="AA40" s="373" t="s">
        <v>12</v>
      </c>
      <c r="AB40" s="374">
        <f t="shared" ref="AB40:AH40" si="43">AB39/AB38*100</f>
        <v>550.87719298245611</v>
      </c>
      <c r="AC40" s="374">
        <f t="shared" si="43"/>
        <v>492.27528089887642</v>
      </c>
      <c r="AD40" s="374">
        <f t="shared" si="43"/>
        <v>518.46921797004995</v>
      </c>
      <c r="AE40" s="374">
        <f t="shared" si="43"/>
        <v>689.9159663865546</v>
      </c>
      <c r="AF40" s="374">
        <f t="shared" si="43"/>
        <v>361.6</v>
      </c>
      <c r="AG40" s="374">
        <f t="shared" si="43"/>
        <v>1360</v>
      </c>
      <c r="AH40" s="375">
        <f t="shared" si="43"/>
        <v>466.17210682492578</v>
      </c>
      <c r="AI40" s="21"/>
      <c r="AJ40" s="373" t="s">
        <v>12</v>
      </c>
      <c r="AK40" s="374" t="e">
        <f t="shared" ref="AK40:AQ40" si="44">AK39/AK38*100</f>
        <v>#DIV/0!</v>
      </c>
      <c r="AL40" s="374" t="e">
        <f t="shared" si="44"/>
        <v>#DIV/0!</v>
      </c>
      <c r="AM40" s="374" t="e">
        <f t="shared" si="44"/>
        <v>#DIV/0!</v>
      </c>
      <c r="AN40" s="374" t="e">
        <f t="shared" si="44"/>
        <v>#DIV/0!</v>
      </c>
      <c r="AO40" s="374" t="e">
        <f t="shared" si="44"/>
        <v>#DIV/0!</v>
      </c>
      <c r="AP40" s="374" t="e">
        <f t="shared" si="44"/>
        <v>#DIV/0!</v>
      </c>
      <c r="AQ40" s="375" t="e">
        <f t="shared" si="44"/>
        <v>#DIV/0!</v>
      </c>
    </row>
    <row r="41" spans="1:46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</row>
    <row r="42" spans="1:46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6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6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6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6">
      <c r="A46" s="82" t="s">
        <v>40</v>
      </c>
      <c r="B46" s="83">
        <f t="shared" ref="B46:H47" si="45">K9+S9+AK9</f>
        <v>807.3</v>
      </c>
      <c r="C46" s="83">
        <f t="shared" si="45"/>
        <v>51672</v>
      </c>
      <c r="D46" s="83">
        <f t="shared" si="45"/>
        <v>44863</v>
      </c>
      <c r="E46" s="83">
        <f t="shared" si="45"/>
        <v>6183</v>
      </c>
      <c r="F46" s="83">
        <f t="shared" si="45"/>
        <v>12109</v>
      </c>
      <c r="G46" s="83">
        <f t="shared" si="45"/>
        <v>2769</v>
      </c>
      <c r="H46" s="83">
        <f t="shared" si="45"/>
        <v>23802</v>
      </c>
    </row>
    <row r="47" spans="1:46">
      <c r="A47" s="84" t="s">
        <v>50</v>
      </c>
      <c r="B47" s="83">
        <f t="shared" si="45"/>
        <v>788.59999999999991</v>
      </c>
      <c r="C47" s="83">
        <f t="shared" si="45"/>
        <v>45604</v>
      </c>
      <c r="D47" s="83">
        <f t="shared" si="45"/>
        <v>43252</v>
      </c>
      <c r="E47" s="83">
        <f t="shared" si="45"/>
        <v>6003</v>
      </c>
      <c r="F47" s="83">
        <f t="shared" si="45"/>
        <v>12230</v>
      </c>
      <c r="G47" s="83">
        <f t="shared" si="45"/>
        <v>2559</v>
      </c>
      <c r="H47" s="83">
        <f t="shared" si="45"/>
        <v>22460</v>
      </c>
    </row>
    <row r="48" spans="1:46">
      <c r="A48" s="85" t="s">
        <v>44</v>
      </c>
      <c r="B48" s="86">
        <f>B47/B46*100</f>
        <v>97.68363681407159</v>
      </c>
      <c r="C48" s="86">
        <f t="shared" ref="C48:H48" si="46">C47/C46*100</f>
        <v>88.256696082984988</v>
      </c>
      <c r="D48" s="86">
        <f t="shared" si="46"/>
        <v>96.409067605822173</v>
      </c>
      <c r="E48" s="86">
        <f t="shared" si="46"/>
        <v>97.088791848617177</v>
      </c>
      <c r="F48" s="86">
        <f t="shared" si="46"/>
        <v>100.9992567511768</v>
      </c>
      <c r="G48" s="86">
        <f t="shared" si="46"/>
        <v>92.416034669555785</v>
      </c>
      <c r="H48" s="86">
        <f t="shared" si="46"/>
        <v>94.361818334593721</v>
      </c>
    </row>
    <row r="49" spans="1:11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11">
      <c r="A50" s="75" t="s">
        <v>40</v>
      </c>
      <c r="B50" s="90">
        <f t="shared" ref="B50:H51" si="47">K13+S13+AK13</f>
        <v>9.3000000000000007</v>
      </c>
      <c r="C50" s="90">
        <f t="shared" si="47"/>
        <v>471</v>
      </c>
      <c r="D50" s="90">
        <f t="shared" si="47"/>
        <v>309</v>
      </c>
      <c r="E50" s="90">
        <f t="shared" si="47"/>
        <v>40</v>
      </c>
      <c r="F50" s="90">
        <f t="shared" si="47"/>
        <v>185</v>
      </c>
      <c r="G50" s="90">
        <f t="shared" si="47"/>
        <v>29</v>
      </c>
      <c r="H50" s="90">
        <f t="shared" si="47"/>
        <v>55</v>
      </c>
    </row>
    <row r="51" spans="1:11">
      <c r="A51" s="75" t="s">
        <v>50</v>
      </c>
      <c r="B51" s="90">
        <f t="shared" si="47"/>
        <v>16.55</v>
      </c>
      <c r="C51" s="90">
        <f t="shared" si="47"/>
        <v>412</v>
      </c>
      <c r="D51" s="90">
        <f t="shared" si="47"/>
        <v>381</v>
      </c>
      <c r="E51" s="90">
        <f t="shared" si="47"/>
        <v>65</v>
      </c>
      <c r="F51" s="90">
        <f t="shared" si="47"/>
        <v>51</v>
      </c>
      <c r="G51" s="90">
        <f t="shared" si="47"/>
        <v>2</v>
      </c>
      <c r="H51" s="90">
        <f t="shared" si="47"/>
        <v>263</v>
      </c>
      <c r="K51" s="94"/>
    </row>
    <row r="52" spans="1:11">
      <c r="A52" s="75" t="s">
        <v>44</v>
      </c>
      <c r="B52" s="91">
        <f t="shared" ref="B52:H52" si="48">B51/B50*100</f>
        <v>177.95698924731184</v>
      </c>
      <c r="C52" s="91">
        <f t="shared" si="48"/>
        <v>87.473460721868364</v>
      </c>
      <c r="D52" s="91">
        <f t="shared" si="48"/>
        <v>123.3009708737864</v>
      </c>
      <c r="E52" s="91">
        <f t="shared" si="48"/>
        <v>162.5</v>
      </c>
      <c r="F52" s="91">
        <f t="shared" si="48"/>
        <v>27.567567567567568</v>
      </c>
      <c r="G52" s="91">
        <f t="shared" si="48"/>
        <v>6.8965517241379306</v>
      </c>
      <c r="H52" s="91">
        <f t="shared" si="48"/>
        <v>478.18181818181824</v>
      </c>
    </row>
    <row r="53" spans="1:11">
      <c r="A53" s="75" t="s">
        <v>13</v>
      </c>
      <c r="B53" s="90">
        <f t="shared" ref="B53:H55" si="49">K16+S16+AK16</f>
        <v>1.9</v>
      </c>
      <c r="C53" s="90">
        <f t="shared" si="49"/>
        <v>44</v>
      </c>
      <c r="D53" s="90">
        <f t="shared" si="49"/>
        <v>41</v>
      </c>
      <c r="E53" s="90">
        <f t="shared" si="49"/>
        <v>3</v>
      </c>
      <c r="F53" s="90">
        <f t="shared" si="49"/>
        <v>11</v>
      </c>
      <c r="G53" s="90">
        <f t="shared" si="49"/>
        <v>1</v>
      </c>
      <c r="H53" s="90">
        <f t="shared" si="49"/>
        <v>26</v>
      </c>
    </row>
    <row r="54" spans="1:11">
      <c r="A54" s="92" t="s">
        <v>14</v>
      </c>
      <c r="B54" s="90">
        <f t="shared" si="49"/>
        <v>0.6</v>
      </c>
      <c r="C54" s="90">
        <f t="shared" si="49"/>
        <v>17</v>
      </c>
      <c r="D54" s="90">
        <f t="shared" si="49"/>
        <v>17</v>
      </c>
      <c r="E54" s="90">
        <f t="shared" si="49"/>
        <v>1</v>
      </c>
      <c r="F54" s="90">
        <f t="shared" si="49"/>
        <v>0</v>
      </c>
      <c r="G54" s="90">
        <f t="shared" si="49"/>
        <v>0</v>
      </c>
      <c r="H54" s="90">
        <f t="shared" si="49"/>
        <v>16</v>
      </c>
    </row>
    <row r="55" spans="1:11">
      <c r="A55" s="75" t="s">
        <v>15</v>
      </c>
      <c r="B55" s="90">
        <f t="shared" si="49"/>
        <v>0.05</v>
      </c>
      <c r="C55" s="90">
        <f t="shared" si="49"/>
        <v>3</v>
      </c>
      <c r="D55" s="90">
        <f t="shared" si="49"/>
        <v>3</v>
      </c>
      <c r="E55" s="90">
        <f t="shared" si="49"/>
        <v>0</v>
      </c>
      <c r="F55" s="90">
        <f t="shared" si="49"/>
        <v>0</v>
      </c>
      <c r="G55" s="90">
        <f t="shared" si="49"/>
        <v>0</v>
      </c>
      <c r="H55" s="90">
        <f t="shared" si="49"/>
        <v>3</v>
      </c>
    </row>
    <row r="56" spans="1:11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11">
      <c r="A57" s="75" t="s">
        <v>40</v>
      </c>
      <c r="B57" s="90">
        <f t="shared" ref="B57:H58" si="50">K20+S20+AK20</f>
        <v>798</v>
      </c>
      <c r="C57" s="90">
        <f t="shared" si="50"/>
        <v>51201</v>
      </c>
      <c r="D57" s="90">
        <f t="shared" si="50"/>
        <v>44554</v>
      </c>
      <c r="E57" s="90">
        <f t="shared" si="50"/>
        <v>6143</v>
      </c>
      <c r="F57" s="90">
        <f t="shared" si="50"/>
        <v>11924</v>
      </c>
      <c r="G57" s="90">
        <f t="shared" si="50"/>
        <v>2740</v>
      </c>
      <c r="H57" s="90">
        <f t="shared" si="50"/>
        <v>23747</v>
      </c>
    </row>
    <row r="58" spans="1:11">
      <c r="A58" s="92" t="s">
        <v>50</v>
      </c>
      <c r="B58" s="90">
        <f t="shared" si="50"/>
        <v>772.05</v>
      </c>
      <c r="C58" s="90">
        <f t="shared" si="50"/>
        <v>45192</v>
      </c>
      <c r="D58" s="90">
        <f t="shared" si="50"/>
        <v>42871</v>
      </c>
      <c r="E58" s="90">
        <f t="shared" si="50"/>
        <v>5938</v>
      </c>
      <c r="F58" s="90">
        <f t="shared" si="50"/>
        <v>12179</v>
      </c>
      <c r="G58" s="90">
        <f t="shared" si="50"/>
        <v>2557</v>
      </c>
      <c r="H58" s="90">
        <f t="shared" si="50"/>
        <v>22197</v>
      </c>
    </row>
    <row r="59" spans="1:11">
      <c r="A59" s="75" t="s">
        <v>44</v>
      </c>
      <c r="B59" s="91">
        <f t="shared" ref="B59:H59" si="51">B58/B57*100</f>
        <v>96.748120300751879</v>
      </c>
      <c r="C59" s="91">
        <f t="shared" si="51"/>
        <v>88.263901095681732</v>
      </c>
      <c r="D59" s="91">
        <f t="shared" si="51"/>
        <v>96.22256138618306</v>
      </c>
      <c r="E59" s="91">
        <f t="shared" si="51"/>
        <v>96.662868305388244</v>
      </c>
      <c r="F59" s="91">
        <f t="shared" si="51"/>
        <v>102.13854411271386</v>
      </c>
      <c r="G59" s="91">
        <f t="shared" si="51"/>
        <v>93.321167883211672</v>
      </c>
      <c r="H59" s="91">
        <f t="shared" si="51"/>
        <v>93.472859729650054</v>
      </c>
    </row>
    <row r="60" spans="1:11">
      <c r="A60" s="75" t="s">
        <v>21</v>
      </c>
      <c r="B60" s="90">
        <f t="shared" ref="B60:H61" si="52">K23+S23+AK23</f>
        <v>0</v>
      </c>
      <c r="C60" s="90">
        <f t="shared" si="52"/>
        <v>0</v>
      </c>
      <c r="D60" s="90">
        <f t="shared" si="52"/>
        <v>0</v>
      </c>
      <c r="E60" s="90">
        <f t="shared" si="52"/>
        <v>0</v>
      </c>
      <c r="F60" s="90">
        <f t="shared" si="52"/>
        <v>0</v>
      </c>
      <c r="G60" s="90">
        <f t="shared" si="52"/>
        <v>0</v>
      </c>
      <c r="H60" s="90">
        <f t="shared" si="52"/>
        <v>0</v>
      </c>
    </row>
    <row r="61" spans="1:11">
      <c r="A61" s="75" t="s">
        <v>51</v>
      </c>
      <c r="B61" s="90">
        <f t="shared" si="52"/>
        <v>0</v>
      </c>
      <c r="C61" s="90">
        <f t="shared" si="52"/>
        <v>0</v>
      </c>
      <c r="D61" s="90">
        <f t="shared" si="52"/>
        <v>0</v>
      </c>
      <c r="E61" s="90">
        <f t="shared" si="52"/>
        <v>0</v>
      </c>
      <c r="F61" s="90">
        <f t="shared" si="52"/>
        <v>0</v>
      </c>
      <c r="G61" s="90">
        <f t="shared" si="52"/>
        <v>0</v>
      </c>
      <c r="H61" s="90">
        <f t="shared" si="52"/>
        <v>0</v>
      </c>
    </row>
    <row r="62" spans="1:11">
      <c r="A62" s="75" t="s">
        <v>12</v>
      </c>
      <c r="B62" s="91" t="e">
        <f t="shared" ref="B62:H62" si="53">B61/B60*100</f>
        <v>#DIV/0!</v>
      </c>
      <c r="C62" s="91" t="e">
        <f t="shared" si="53"/>
        <v>#DIV/0!</v>
      </c>
      <c r="D62" s="91" t="e">
        <f t="shared" si="53"/>
        <v>#DIV/0!</v>
      </c>
      <c r="E62" s="91" t="e">
        <f t="shared" si="53"/>
        <v>#DIV/0!</v>
      </c>
      <c r="F62" s="91" t="e">
        <f t="shared" si="53"/>
        <v>#DIV/0!</v>
      </c>
      <c r="G62" s="91" t="e">
        <f t="shared" si="53"/>
        <v>#DIV/0!</v>
      </c>
      <c r="H62" s="91" t="e">
        <f t="shared" si="53"/>
        <v>#DIV/0!</v>
      </c>
    </row>
    <row r="63" spans="1:11">
      <c r="A63" s="75" t="s">
        <v>23</v>
      </c>
      <c r="B63" s="90">
        <f t="shared" ref="B63:H64" si="54">K26+S26+AK26</f>
        <v>58.7</v>
      </c>
      <c r="C63" s="90">
        <f t="shared" si="54"/>
        <v>2226</v>
      </c>
      <c r="D63" s="90">
        <f t="shared" si="54"/>
        <v>1955</v>
      </c>
      <c r="E63" s="90">
        <f t="shared" si="54"/>
        <v>200</v>
      </c>
      <c r="F63" s="90">
        <f t="shared" si="54"/>
        <v>469</v>
      </c>
      <c r="G63" s="90">
        <f t="shared" si="54"/>
        <v>69</v>
      </c>
      <c r="H63" s="90">
        <f t="shared" si="54"/>
        <v>1217</v>
      </c>
    </row>
    <row r="64" spans="1:11">
      <c r="A64" s="75" t="s">
        <v>45</v>
      </c>
      <c r="B64" s="90">
        <f t="shared" si="54"/>
        <v>63</v>
      </c>
      <c r="C64" s="90">
        <f t="shared" si="54"/>
        <v>2750</v>
      </c>
      <c r="D64" s="90">
        <f t="shared" si="54"/>
        <v>2614</v>
      </c>
      <c r="E64" s="90">
        <f t="shared" si="54"/>
        <v>613</v>
      </c>
      <c r="F64" s="90">
        <f t="shared" si="54"/>
        <v>480</v>
      </c>
      <c r="G64" s="90">
        <f t="shared" si="54"/>
        <v>39</v>
      </c>
      <c r="H64" s="90">
        <f t="shared" si="54"/>
        <v>1482</v>
      </c>
    </row>
    <row r="65" spans="1:8">
      <c r="A65" s="75" t="s">
        <v>12</v>
      </c>
      <c r="B65" s="91">
        <f t="shared" ref="B65:H65" si="55">B64/B63*100</f>
        <v>107.32538330494037</v>
      </c>
      <c r="C65" s="91">
        <f t="shared" si="55"/>
        <v>123.53998203054807</v>
      </c>
      <c r="D65" s="91">
        <f t="shared" si="55"/>
        <v>133.70843989769821</v>
      </c>
      <c r="E65" s="91">
        <f t="shared" si="55"/>
        <v>306.5</v>
      </c>
      <c r="F65" s="91">
        <f t="shared" si="55"/>
        <v>102.34541577825161</v>
      </c>
      <c r="G65" s="91">
        <f t="shared" si="55"/>
        <v>56.521739130434781</v>
      </c>
      <c r="H65" s="91">
        <f t="shared" si="55"/>
        <v>121.77485620377979</v>
      </c>
    </row>
    <row r="66" spans="1:8">
      <c r="A66" s="75" t="s">
        <v>25</v>
      </c>
      <c r="B66" s="90">
        <f t="shared" ref="B66:H67" si="56">K29+S29+AK29</f>
        <v>332.5</v>
      </c>
      <c r="C66" s="90">
        <f t="shared" si="56"/>
        <v>11126</v>
      </c>
      <c r="D66" s="90">
        <f t="shared" si="56"/>
        <v>9889</v>
      </c>
      <c r="E66" s="90">
        <f t="shared" si="56"/>
        <v>850</v>
      </c>
      <c r="F66" s="90">
        <f t="shared" si="56"/>
        <v>2600</v>
      </c>
      <c r="G66" s="90">
        <f t="shared" si="56"/>
        <v>479</v>
      </c>
      <c r="H66" s="90">
        <f t="shared" si="56"/>
        <v>5960</v>
      </c>
    </row>
    <row r="67" spans="1:8">
      <c r="A67" s="75" t="s">
        <v>46</v>
      </c>
      <c r="B67" s="90">
        <f t="shared" si="56"/>
        <v>177.27999999999997</v>
      </c>
      <c r="C67" s="90">
        <f t="shared" si="56"/>
        <v>5670</v>
      </c>
      <c r="D67" s="90">
        <f t="shared" si="56"/>
        <v>5075</v>
      </c>
      <c r="E67" s="90">
        <f t="shared" si="56"/>
        <v>773</v>
      </c>
      <c r="F67" s="90">
        <f t="shared" si="56"/>
        <v>1111</v>
      </c>
      <c r="G67" s="90">
        <f t="shared" si="56"/>
        <v>227</v>
      </c>
      <c r="H67" s="90">
        <f t="shared" si="56"/>
        <v>2964</v>
      </c>
    </row>
    <row r="68" spans="1:8">
      <c r="A68" s="75" t="s">
        <v>12</v>
      </c>
      <c r="B68" s="91">
        <f t="shared" ref="B68:H68" si="57">B67/B66*100</f>
        <v>53.317293233082694</v>
      </c>
      <c r="C68" s="91">
        <f t="shared" si="57"/>
        <v>50.961711306848819</v>
      </c>
      <c r="D68" s="91">
        <f t="shared" si="57"/>
        <v>51.319648093841643</v>
      </c>
      <c r="E68" s="91">
        <f t="shared" si="57"/>
        <v>90.941176470588232</v>
      </c>
      <c r="F68" s="91">
        <f t="shared" si="57"/>
        <v>42.730769230769234</v>
      </c>
      <c r="G68" s="91">
        <f t="shared" si="57"/>
        <v>47.390396659707726</v>
      </c>
      <c r="H68" s="91">
        <f t="shared" si="57"/>
        <v>49.73154362416107</v>
      </c>
    </row>
    <row r="69" spans="1:8">
      <c r="A69" s="75" t="s">
        <v>27</v>
      </c>
      <c r="B69" s="90">
        <f t="shared" ref="B69:H70" si="58">K32+S32+AK32</f>
        <v>24.900000000000002</v>
      </c>
      <c r="C69" s="90">
        <f t="shared" si="58"/>
        <v>4629</v>
      </c>
      <c r="D69" s="90">
        <f t="shared" si="58"/>
        <v>3960</v>
      </c>
      <c r="E69" s="90">
        <f t="shared" si="58"/>
        <v>2224</v>
      </c>
      <c r="F69" s="90">
        <f t="shared" si="58"/>
        <v>825</v>
      </c>
      <c r="G69" s="90">
        <f t="shared" si="58"/>
        <v>123</v>
      </c>
      <c r="H69" s="90">
        <f t="shared" si="58"/>
        <v>788</v>
      </c>
    </row>
    <row r="70" spans="1:8">
      <c r="A70" s="75" t="s">
        <v>47</v>
      </c>
      <c r="B70" s="90">
        <f t="shared" si="58"/>
        <v>13.1</v>
      </c>
      <c r="C70" s="90">
        <f t="shared" si="58"/>
        <v>2958</v>
      </c>
      <c r="D70" s="90">
        <f t="shared" si="58"/>
        <v>2907</v>
      </c>
      <c r="E70" s="90">
        <f t="shared" si="58"/>
        <v>1975</v>
      </c>
      <c r="F70" s="90">
        <f t="shared" si="58"/>
        <v>513</v>
      </c>
      <c r="G70" s="90">
        <f t="shared" si="58"/>
        <v>45</v>
      </c>
      <c r="H70" s="90">
        <f t="shared" si="58"/>
        <v>374</v>
      </c>
    </row>
    <row r="71" spans="1:8">
      <c r="A71" s="75" t="s">
        <v>12</v>
      </c>
      <c r="B71" s="91">
        <f t="shared" ref="B71:H71" si="59">B70/B69*100</f>
        <v>52.610441767068274</v>
      </c>
      <c r="C71" s="91">
        <f t="shared" si="59"/>
        <v>63.901490602721964</v>
      </c>
      <c r="D71" s="91">
        <f t="shared" si="59"/>
        <v>73.409090909090907</v>
      </c>
      <c r="E71" s="91">
        <f t="shared" si="59"/>
        <v>88.803956834532372</v>
      </c>
      <c r="F71" s="91">
        <f t="shared" si="59"/>
        <v>62.18181818181818</v>
      </c>
      <c r="G71" s="91">
        <f t="shared" si="59"/>
        <v>36.585365853658537</v>
      </c>
      <c r="H71" s="91">
        <f t="shared" si="59"/>
        <v>47.461928934010153</v>
      </c>
    </row>
    <row r="72" spans="1:8">
      <c r="A72" s="75" t="s">
        <v>29</v>
      </c>
      <c r="B72" s="90">
        <f t="shared" ref="B72:H73" si="60">K35+S35+AK35</f>
        <v>252.9</v>
      </c>
      <c r="C72" s="90">
        <f t="shared" si="60"/>
        <v>26502</v>
      </c>
      <c r="D72" s="90">
        <f t="shared" si="60"/>
        <v>23315</v>
      </c>
      <c r="E72" s="90">
        <f t="shared" si="60"/>
        <v>2147</v>
      </c>
      <c r="F72" s="90">
        <f t="shared" si="60"/>
        <v>6798</v>
      </c>
      <c r="G72" s="90">
        <f t="shared" si="60"/>
        <v>1812</v>
      </c>
      <c r="H72" s="90">
        <f t="shared" si="60"/>
        <v>12558</v>
      </c>
    </row>
    <row r="73" spans="1:8">
      <c r="A73" s="75" t="s">
        <v>48</v>
      </c>
      <c r="B73" s="90">
        <f t="shared" si="60"/>
        <v>311.44999999999993</v>
      </c>
      <c r="C73" s="90">
        <f t="shared" si="60"/>
        <v>25388</v>
      </c>
      <c r="D73" s="90">
        <f t="shared" si="60"/>
        <v>24486</v>
      </c>
      <c r="E73" s="90">
        <f t="shared" si="60"/>
        <v>1020</v>
      </c>
      <c r="F73" s="90">
        <f t="shared" si="60"/>
        <v>8958</v>
      </c>
      <c r="G73" s="90">
        <f t="shared" si="60"/>
        <v>1873</v>
      </c>
      <c r="H73" s="90">
        <f t="shared" si="60"/>
        <v>12635</v>
      </c>
    </row>
    <row r="74" spans="1:8">
      <c r="A74" s="75" t="s">
        <v>12</v>
      </c>
      <c r="B74" s="91">
        <f t="shared" ref="B74:H74" si="61">B73/B72*100</f>
        <v>123.15144325820479</v>
      </c>
      <c r="C74" s="91">
        <f t="shared" si="61"/>
        <v>95.796543657082495</v>
      </c>
      <c r="D74" s="91">
        <f t="shared" si="61"/>
        <v>105.02251769247266</v>
      </c>
      <c r="E74" s="91">
        <f t="shared" si="61"/>
        <v>47.508150908244062</v>
      </c>
      <c r="F74" s="91">
        <f t="shared" si="61"/>
        <v>131.77405119152692</v>
      </c>
      <c r="G74" s="91">
        <f t="shared" si="61"/>
        <v>103.36644591611478</v>
      </c>
      <c r="H74" s="91">
        <f t="shared" si="61"/>
        <v>100.61315496098105</v>
      </c>
    </row>
    <row r="75" spans="1:8">
      <c r="A75" s="75" t="s">
        <v>31</v>
      </c>
      <c r="B75" s="90">
        <f t="shared" ref="B75:H76" si="62">K38+S38+AK38</f>
        <v>129</v>
      </c>
      <c r="C75" s="90">
        <f t="shared" si="62"/>
        <v>6718</v>
      </c>
      <c r="D75" s="90">
        <f t="shared" si="62"/>
        <v>5435</v>
      </c>
      <c r="E75" s="90">
        <f t="shared" si="62"/>
        <v>722</v>
      </c>
      <c r="F75" s="90">
        <f t="shared" si="62"/>
        <v>1232</v>
      </c>
      <c r="G75" s="90">
        <f t="shared" si="62"/>
        <v>257</v>
      </c>
      <c r="H75" s="90">
        <f t="shared" si="62"/>
        <v>3224</v>
      </c>
    </row>
    <row r="76" spans="1:8">
      <c r="A76" s="75" t="s">
        <v>52</v>
      </c>
      <c r="B76" s="90">
        <f t="shared" si="62"/>
        <v>207.22</v>
      </c>
      <c r="C76" s="90">
        <f t="shared" si="62"/>
        <v>8426</v>
      </c>
      <c r="D76" s="90">
        <f t="shared" si="62"/>
        <v>7789</v>
      </c>
      <c r="E76" s="90">
        <f t="shared" si="62"/>
        <v>1557</v>
      </c>
      <c r="F76" s="90">
        <f t="shared" si="62"/>
        <v>1117</v>
      </c>
      <c r="G76" s="90">
        <f t="shared" si="62"/>
        <v>373</v>
      </c>
      <c r="H76" s="90">
        <f t="shared" si="62"/>
        <v>4742</v>
      </c>
    </row>
    <row r="77" spans="1:8">
      <c r="A77" s="75" t="s">
        <v>12</v>
      </c>
      <c r="B77" s="91">
        <f t="shared" ref="B77:H77" si="63">B76/B75*100</f>
        <v>160.63565891472868</v>
      </c>
      <c r="C77" s="91">
        <f t="shared" si="63"/>
        <v>125.42423340279845</v>
      </c>
      <c r="D77" s="91">
        <f t="shared" si="63"/>
        <v>143.31186752529899</v>
      </c>
      <c r="E77" s="91">
        <f t="shared" si="63"/>
        <v>215.6509695290859</v>
      </c>
      <c r="F77" s="91">
        <f t="shared" si="63"/>
        <v>90.665584415584405</v>
      </c>
      <c r="G77" s="91">
        <f t="shared" si="63"/>
        <v>145.136186770428</v>
      </c>
      <c r="H77" s="91">
        <f t="shared" si="63"/>
        <v>147.08436724565757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64">B9-B46</f>
        <v>0</v>
      </c>
      <c r="C83" s="83">
        <f t="shared" si="64"/>
        <v>0</v>
      </c>
      <c r="D83" s="83">
        <f t="shared" si="64"/>
        <v>0</v>
      </c>
      <c r="E83" s="83">
        <f t="shared" si="64"/>
        <v>0</v>
      </c>
      <c r="F83" s="83">
        <f t="shared" si="64"/>
        <v>0</v>
      </c>
      <c r="G83" s="83">
        <f t="shared" si="64"/>
        <v>0</v>
      </c>
      <c r="H83" s="83">
        <f t="shared" si="64"/>
        <v>0</v>
      </c>
    </row>
    <row r="84" spans="1:8">
      <c r="A84" s="84" t="s">
        <v>50</v>
      </c>
      <c r="B84" s="83">
        <f t="shared" si="64"/>
        <v>0</v>
      </c>
      <c r="C84" s="83">
        <f t="shared" si="64"/>
        <v>0</v>
      </c>
      <c r="D84" s="83">
        <f t="shared" si="64"/>
        <v>0</v>
      </c>
      <c r="E84" s="83">
        <f t="shared" si="64"/>
        <v>0</v>
      </c>
      <c r="F84" s="83">
        <f t="shared" si="64"/>
        <v>0</v>
      </c>
      <c r="G84" s="83">
        <f t="shared" si="64"/>
        <v>0</v>
      </c>
      <c r="H84" s="83">
        <f t="shared" si="64"/>
        <v>0</v>
      </c>
    </row>
    <row r="85" spans="1:8">
      <c r="A85" s="85" t="s">
        <v>44</v>
      </c>
      <c r="B85" s="83">
        <f t="shared" si="64"/>
        <v>0</v>
      </c>
      <c r="C85" s="83">
        <f t="shared" si="64"/>
        <v>0</v>
      </c>
      <c r="D85" s="83">
        <f t="shared" si="64"/>
        <v>0</v>
      </c>
      <c r="E85" s="83">
        <f t="shared" si="64"/>
        <v>0</v>
      </c>
      <c r="F85" s="83">
        <f t="shared" si="64"/>
        <v>0</v>
      </c>
      <c r="G85" s="83">
        <f t="shared" si="64"/>
        <v>0</v>
      </c>
      <c r="H85" s="83">
        <f t="shared" si="64"/>
        <v>0</v>
      </c>
    </row>
    <row r="86" spans="1:8">
      <c r="A86" s="87" t="s">
        <v>11</v>
      </c>
      <c r="B86" s="83">
        <f t="shared" si="64"/>
        <v>0</v>
      </c>
      <c r="C86" s="83">
        <f t="shared" si="64"/>
        <v>0</v>
      </c>
      <c r="D86" s="83">
        <f t="shared" si="64"/>
        <v>0</v>
      </c>
      <c r="E86" s="83">
        <f t="shared" si="64"/>
        <v>0</v>
      </c>
      <c r="F86" s="83">
        <f t="shared" si="64"/>
        <v>0</v>
      </c>
      <c r="G86" s="83">
        <f t="shared" si="64"/>
        <v>0</v>
      </c>
      <c r="H86" s="83">
        <f t="shared" si="64"/>
        <v>0</v>
      </c>
    </row>
    <row r="87" spans="1:8">
      <c r="A87" s="75" t="s">
        <v>40</v>
      </c>
      <c r="B87" s="83">
        <f t="shared" si="64"/>
        <v>0</v>
      </c>
      <c r="C87" s="83">
        <f t="shared" si="64"/>
        <v>0</v>
      </c>
      <c r="D87" s="83">
        <f t="shared" si="64"/>
        <v>0</v>
      </c>
      <c r="E87" s="83">
        <f t="shared" si="64"/>
        <v>0</v>
      </c>
      <c r="F87" s="83">
        <f t="shared" si="64"/>
        <v>0</v>
      </c>
      <c r="G87" s="83">
        <f t="shared" si="64"/>
        <v>0</v>
      </c>
      <c r="H87" s="83">
        <f t="shared" si="64"/>
        <v>0</v>
      </c>
    </row>
    <row r="88" spans="1:8">
      <c r="A88" s="75" t="s">
        <v>50</v>
      </c>
      <c r="B88" s="83">
        <f t="shared" si="64"/>
        <v>0</v>
      </c>
      <c r="C88" s="83">
        <f t="shared" si="64"/>
        <v>0</v>
      </c>
      <c r="D88" s="83">
        <f t="shared" si="64"/>
        <v>0</v>
      </c>
      <c r="E88" s="83">
        <f t="shared" si="64"/>
        <v>0</v>
      </c>
      <c r="F88" s="83">
        <f t="shared" si="64"/>
        <v>0</v>
      </c>
      <c r="G88" s="83">
        <f t="shared" si="64"/>
        <v>0</v>
      </c>
      <c r="H88" s="83">
        <f t="shared" si="64"/>
        <v>0</v>
      </c>
    </row>
    <row r="89" spans="1:8">
      <c r="A89" s="75" t="s">
        <v>44</v>
      </c>
      <c r="B89" s="83">
        <f t="shared" si="64"/>
        <v>0</v>
      </c>
      <c r="C89" s="83">
        <f t="shared" si="64"/>
        <v>0</v>
      </c>
      <c r="D89" s="83">
        <f t="shared" si="64"/>
        <v>0</v>
      </c>
      <c r="E89" s="83">
        <f t="shared" si="64"/>
        <v>0</v>
      </c>
      <c r="F89" s="83">
        <f t="shared" si="64"/>
        <v>0</v>
      </c>
      <c r="G89" s="83">
        <f t="shared" si="64"/>
        <v>0</v>
      </c>
      <c r="H89" s="83">
        <f t="shared" si="64"/>
        <v>0</v>
      </c>
    </row>
    <row r="90" spans="1:8">
      <c r="A90" s="75" t="s">
        <v>13</v>
      </c>
      <c r="B90" s="83">
        <f t="shared" si="64"/>
        <v>0</v>
      </c>
      <c r="C90" s="83">
        <f t="shared" si="64"/>
        <v>0</v>
      </c>
      <c r="D90" s="83">
        <f t="shared" si="64"/>
        <v>0</v>
      </c>
      <c r="E90" s="83">
        <f t="shared" si="64"/>
        <v>0</v>
      </c>
      <c r="F90" s="83">
        <f t="shared" si="64"/>
        <v>0</v>
      </c>
      <c r="G90" s="83">
        <f t="shared" si="64"/>
        <v>0</v>
      </c>
      <c r="H90" s="83">
        <f t="shared" si="64"/>
        <v>0</v>
      </c>
    </row>
    <row r="91" spans="1:8">
      <c r="A91" s="92" t="s">
        <v>14</v>
      </c>
      <c r="B91" s="83">
        <f t="shared" si="64"/>
        <v>0</v>
      </c>
      <c r="C91" s="83">
        <f t="shared" si="64"/>
        <v>0</v>
      </c>
      <c r="D91" s="83">
        <f t="shared" si="64"/>
        <v>0</v>
      </c>
      <c r="E91" s="83">
        <f t="shared" si="64"/>
        <v>0</v>
      </c>
      <c r="F91" s="83">
        <f t="shared" si="64"/>
        <v>0</v>
      </c>
      <c r="G91" s="83">
        <f t="shared" si="64"/>
        <v>0</v>
      </c>
      <c r="H91" s="83">
        <f t="shared" si="64"/>
        <v>0</v>
      </c>
    </row>
    <row r="92" spans="1:8">
      <c r="A92" s="75" t="s">
        <v>15</v>
      </c>
      <c r="B92" s="83">
        <f t="shared" si="64"/>
        <v>0</v>
      </c>
      <c r="C92" s="83">
        <f t="shared" si="64"/>
        <v>0</v>
      </c>
      <c r="D92" s="83">
        <f t="shared" si="64"/>
        <v>0</v>
      </c>
      <c r="E92" s="83">
        <f t="shared" si="64"/>
        <v>0</v>
      </c>
      <c r="F92" s="83">
        <f t="shared" si="64"/>
        <v>0</v>
      </c>
      <c r="G92" s="83">
        <f t="shared" si="64"/>
        <v>0</v>
      </c>
      <c r="H92" s="83">
        <f t="shared" si="64"/>
        <v>0</v>
      </c>
    </row>
    <row r="93" spans="1:8">
      <c r="A93" s="87" t="s">
        <v>16</v>
      </c>
      <c r="B93" s="83">
        <f t="shared" si="64"/>
        <v>0</v>
      </c>
      <c r="C93" s="83">
        <f t="shared" si="64"/>
        <v>0</v>
      </c>
      <c r="D93" s="83">
        <f t="shared" si="64"/>
        <v>0</v>
      </c>
      <c r="E93" s="83">
        <f t="shared" si="64"/>
        <v>0</v>
      </c>
      <c r="F93" s="83">
        <f t="shared" si="64"/>
        <v>0</v>
      </c>
      <c r="G93" s="83">
        <f t="shared" si="64"/>
        <v>0</v>
      </c>
      <c r="H93" s="83">
        <f t="shared" si="64"/>
        <v>0</v>
      </c>
    </row>
    <row r="94" spans="1:8">
      <c r="A94" s="75" t="s">
        <v>40</v>
      </c>
      <c r="B94" s="83">
        <f t="shared" si="64"/>
        <v>0</v>
      </c>
      <c r="C94" s="83">
        <f t="shared" si="64"/>
        <v>0</v>
      </c>
      <c r="D94" s="83">
        <f t="shared" si="64"/>
        <v>0</v>
      </c>
      <c r="E94" s="83">
        <f t="shared" si="64"/>
        <v>0</v>
      </c>
      <c r="F94" s="83">
        <f t="shared" si="64"/>
        <v>0</v>
      </c>
      <c r="G94" s="83">
        <f t="shared" si="64"/>
        <v>0</v>
      </c>
      <c r="H94" s="83">
        <f t="shared" si="64"/>
        <v>0</v>
      </c>
    </row>
    <row r="95" spans="1:8">
      <c r="A95" s="92" t="s">
        <v>50</v>
      </c>
      <c r="B95" s="83">
        <f t="shared" si="64"/>
        <v>0</v>
      </c>
      <c r="C95" s="83">
        <f t="shared" si="64"/>
        <v>0</v>
      </c>
      <c r="D95" s="83">
        <f t="shared" si="64"/>
        <v>0</v>
      </c>
      <c r="E95" s="83">
        <f t="shared" si="64"/>
        <v>0</v>
      </c>
      <c r="F95" s="83">
        <f t="shared" si="64"/>
        <v>0</v>
      </c>
      <c r="G95" s="83">
        <f t="shared" si="64"/>
        <v>0</v>
      </c>
      <c r="H95" s="83">
        <f t="shared" si="64"/>
        <v>0</v>
      </c>
    </row>
    <row r="96" spans="1:8">
      <c r="A96" s="75" t="s">
        <v>44</v>
      </c>
      <c r="B96" s="83">
        <f t="shared" si="64"/>
        <v>0</v>
      </c>
      <c r="C96" s="83">
        <f t="shared" si="64"/>
        <v>0</v>
      </c>
      <c r="D96" s="83">
        <f t="shared" si="64"/>
        <v>0</v>
      </c>
      <c r="E96" s="83">
        <f t="shared" si="64"/>
        <v>0</v>
      </c>
      <c r="F96" s="83">
        <f t="shared" si="64"/>
        <v>0</v>
      </c>
      <c r="G96" s="83">
        <f t="shared" si="64"/>
        <v>0</v>
      </c>
      <c r="H96" s="83">
        <f t="shared" si="64"/>
        <v>0</v>
      </c>
    </row>
    <row r="97" spans="1:8">
      <c r="A97" s="75" t="s">
        <v>21</v>
      </c>
      <c r="B97" s="83">
        <f t="shared" si="64"/>
        <v>0</v>
      </c>
      <c r="C97" s="83">
        <f t="shared" si="64"/>
        <v>0</v>
      </c>
      <c r="D97" s="83">
        <f t="shared" si="64"/>
        <v>0</v>
      </c>
      <c r="E97" s="83">
        <f t="shared" si="64"/>
        <v>0</v>
      </c>
      <c r="F97" s="83">
        <f t="shared" si="64"/>
        <v>0</v>
      </c>
      <c r="G97" s="83">
        <f t="shared" si="64"/>
        <v>0</v>
      </c>
      <c r="H97" s="83">
        <f t="shared" si="64"/>
        <v>0</v>
      </c>
    </row>
    <row r="98" spans="1:8">
      <c r="A98" s="75" t="s">
        <v>51</v>
      </c>
      <c r="B98" s="83">
        <f t="shared" si="64"/>
        <v>0</v>
      </c>
      <c r="C98" s="83">
        <f t="shared" si="64"/>
        <v>0</v>
      </c>
      <c r="D98" s="83">
        <f t="shared" si="64"/>
        <v>0</v>
      </c>
      <c r="E98" s="83">
        <f t="shared" si="64"/>
        <v>0</v>
      </c>
      <c r="F98" s="83">
        <f t="shared" si="64"/>
        <v>0</v>
      </c>
      <c r="G98" s="83">
        <f t="shared" si="64"/>
        <v>0</v>
      </c>
      <c r="H98" s="83">
        <f t="shared" si="64"/>
        <v>0</v>
      </c>
    </row>
    <row r="99" spans="1:8">
      <c r="A99" s="75" t="s">
        <v>12</v>
      </c>
      <c r="B99" s="83" t="e">
        <f t="shared" ref="B99:H114" si="65">B25-B62</f>
        <v>#DIV/0!</v>
      </c>
      <c r="C99" s="83" t="e">
        <f t="shared" si="65"/>
        <v>#DIV/0!</v>
      </c>
      <c r="D99" s="83" t="e">
        <f t="shared" si="65"/>
        <v>#DIV/0!</v>
      </c>
      <c r="E99" s="83" t="e">
        <f t="shared" si="65"/>
        <v>#DIV/0!</v>
      </c>
      <c r="F99" s="83" t="e">
        <f t="shared" si="65"/>
        <v>#DIV/0!</v>
      </c>
      <c r="G99" s="83" t="e">
        <f t="shared" si="65"/>
        <v>#DIV/0!</v>
      </c>
      <c r="H99" s="83" t="e">
        <f t="shared" si="65"/>
        <v>#DIV/0!</v>
      </c>
    </row>
    <row r="100" spans="1:8">
      <c r="A100" s="75" t="s">
        <v>23</v>
      </c>
      <c r="B100" s="83">
        <f t="shared" si="65"/>
        <v>0</v>
      </c>
      <c r="C100" s="83">
        <f t="shared" si="65"/>
        <v>0</v>
      </c>
      <c r="D100" s="83">
        <f t="shared" si="65"/>
        <v>0</v>
      </c>
      <c r="E100" s="83">
        <f t="shared" si="65"/>
        <v>0</v>
      </c>
      <c r="F100" s="83">
        <f t="shared" si="65"/>
        <v>0</v>
      </c>
      <c r="G100" s="83">
        <f t="shared" si="65"/>
        <v>0</v>
      </c>
      <c r="H100" s="83">
        <f t="shared" si="65"/>
        <v>0</v>
      </c>
    </row>
    <row r="101" spans="1:8">
      <c r="A101" s="75" t="s">
        <v>45</v>
      </c>
      <c r="B101" s="83">
        <f t="shared" si="65"/>
        <v>0</v>
      </c>
      <c r="C101" s="83">
        <f t="shared" si="65"/>
        <v>0</v>
      </c>
      <c r="D101" s="83">
        <f t="shared" si="65"/>
        <v>0</v>
      </c>
      <c r="E101" s="83">
        <f t="shared" si="65"/>
        <v>0</v>
      </c>
      <c r="F101" s="83">
        <f t="shared" si="65"/>
        <v>0</v>
      </c>
      <c r="G101" s="83">
        <f t="shared" si="65"/>
        <v>0</v>
      </c>
      <c r="H101" s="83">
        <f t="shared" si="65"/>
        <v>0</v>
      </c>
    </row>
    <row r="102" spans="1:8">
      <c r="A102" s="75" t="s">
        <v>12</v>
      </c>
      <c r="B102" s="83">
        <f t="shared" si="65"/>
        <v>0</v>
      </c>
      <c r="C102" s="83">
        <f t="shared" si="65"/>
        <v>0</v>
      </c>
      <c r="D102" s="83">
        <f t="shared" si="65"/>
        <v>0</v>
      </c>
      <c r="E102" s="83">
        <f t="shared" si="65"/>
        <v>0</v>
      </c>
      <c r="F102" s="83">
        <f t="shared" si="65"/>
        <v>0</v>
      </c>
      <c r="G102" s="83">
        <f t="shared" si="65"/>
        <v>0</v>
      </c>
      <c r="H102" s="83">
        <f t="shared" si="65"/>
        <v>0</v>
      </c>
    </row>
    <row r="103" spans="1:8">
      <c r="A103" s="75" t="s">
        <v>25</v>
      </c>
      <c r="B103" s="83">
        <f t="shared" si="65"/>
        <v>0</v>
      </c>
      <c r="C103" s="83">
        <f t="shared" si="65"/>
        <v>0</v>
      </c>
      <c r="D103" s="83">
        <f t="shared" si="65"/>
        <v>0</v>
      </c>
      <c r="E103" s="83">
        <f t="shared" si="65"/>
        <v>0</v>
      </c>
      <c r="F103" s="83">
        <f t="shared" si="65"/>
        <v>0</v>
      </c>
      <c r="G103" s="83">
        <f t="shared" si="65"/>
        <v>0</v>
      </c>
      <c r="H103" s="83">
        <f t="shared" si="65"/>
        <v>0</v>
      </c>
    </row>
    <row r="104" spans="1:8">
      <c r="A104" s="75" t="s">
        <v>46</v>
      </c>
      <c r="B104" s="83">
        <f t="shared" si="65"/>
        <v>0</v>
      </c>
      <c r="C104" s="83">
        <f t="shared" si="65"/>
        <v>0</v>
      </c>
      <c r="D104" s="83">
        <f t="shared" si="65"/>
        <v>0</v>
      </c>
      <c r="E104" s="83">
        <f t="shared" si="65"/>
        <v>0</v>
      </c>
      <c r="F104" s="83">
        <f t="shared" si="65"/>
        <v>0</v>
      </c>
      <c r="G104" s="83">
        <f t="shared" si="65"/>
        <v>0</v>
      </c>
      <c r="H104" s="83">
        <f t="shared" si="65"/>
        <v>0</v>
      </c>
    </row>
    <row r="105" spans="1:8">
      <c r="A105" s="75" t="s">
        <v>12</v>
      </c>
      <c r="B105" s="83">
        <f t="shared" si="65"/>
        <v>0</v>
      </c>
      <c r="C105" s="83">
        <f t="shared" si="65"/>
        <v>0</v>
      </c>
      <c r="D105" s="83">
        <f t="shared" si="65"/>
        <v>0</v>
      </c>
      <c r="E105" s="83">
        <f t="shared" si="65"/>
        <v>0</v>
      </c>
      <c r="F105" s="83">
        <f t="shared" si="65"/>
        <v>0</v>
      </c>
      <c r="G105" s="83">
        <f t="shared" si="65"/>
        <v>0</v>
      </c>
      <c r="H105" s="83">
        <f t="shared" si="65"/>
        <v>0</v>
      </c>
    </row>
    <row r="106" spans="1:8">
      <c r="A106" s="75" t="s">
        <v>27</v>
      </c>
      <c r="B106" s="83">
        <f t="shared" si="65"/>
        <v>0</v>
      </c>
      <c r="C106" s="83">
        <f t="shared" si="65"/>
        <v>0</v>
      </c>
      <c r="D106" s="83">
        <f t="shared" si="65"/>
        <v>0</v>
      </c>
      <c r="E106" s="83">
        <f t="shared" si="65"/>
        <v>0</v>
      </c>
      <c r="F106" s="83">
        <f t="shared" si="65"/>
        <v>0</v>
      </c>
      <c r="G106" s="83">
        <f t="shared" si="65"/>
        <v>0</v>
      </c>
      <c r="H106" s="83">
        <f t="shared" si="65"/>
        <v>0</v>
      </c>
    </row>
    <row r="107" spans="1:8">
      <c r="A107" s="75" t="s">
        <v>47</v>
      </c>
      <c r="B107" s="83">
        <f t="shared" si="65"/>
        <v>0</v>
      </c>
      <c r="C107" s="83">
        <f t="shared" si="65"/>
        <v>0</v>
      </c>
      <c r="D107" s="83">
        <f t="shared" si="65"/>
        <v>0</v>
      </c>
      <c r="E107" s="83">
        <f t="shared" si="65"/>
        <v>0</v>
      </c>
      <c r="F107" s="83">
        <f t="shared" si="65"/>
        <v>0</v>
      </c>
      <c r="G107" s="83">
        <f t="shared" si="65"/>
        <v>0</v>
      </c>
      <c r="H107" s="83">
        <f t="shared" si="65"/>
        <v>0</v>
      </c>
    </row>
    <row r="108" spans="1:8">
      <c r="A108" s="75" t="s">
        <v>12</v>
      </c>
      <c r="B108" s="83">
        <f t="shared" si="65"/>
        <v>0</v>
      </c>
      <c r="C108" s="83">
        <f t="shared" si="65"/>
        <v>0</v>
      </c>
      <c r="D108" s="83">
        <f t="shared" si="65"/>
        <v>0</v>
      </c>
      <c r="E108" s="83">
        <f t="shared" si="65"/>
        <v>0</v>
      </c>
      <c r="F108" s="83">
        <f t="shared" si="65"/>
        <v>0</v>
      </c>
      <c r="G108" s="83">
        <f t="shared" si="65"/>
        <v>0</v>
      </c>
      <c r="H108" s="83">
        <f t="shared" si="65"/>
        <v>0</v>
      </c>
    </row>
    <row r="109" spans="1:8">
      <c r="A109" s="75" t="s">
        <v>29</v>
      </c>
      <c r="B109" s="83">
        <f t="shared" si="65"/>
        <v>0</v>
      </c>
      <c r="C109" s="83">
        <f t="shared" si="65"/>
        <v>0</v>
      </c>
      <c r="D109" s="83">
        <f t="shared" si="65"/>
        <v>0</v>
      </c>
      <c r="E109" s="83">
        <f t="shared" si="65"/>
        <v>0</v>
      </c>
      <c r="F109" s="83">
        <f t="shared" si="65"/>
        <v>0</v>
      </c>
      <c r="G109" s="83">
        <f t="shared" si="65"/>
        <v>0</v>
      </c>
      <c r="H109" s="83">
        <f t="shared" si="65"/>
        <v>0</v>
      </c>
    </row>
    <row r="110" spans="1:8">
      <c r="A110" s="75" t="s">
        <v>48</v>
      </c>
      <c r="B110" s="83">
        <f t="shared" si="65"/>
        <v>0</v>
      </c>
      <c r="C110" s="83">
        <f t="shared" si="65"/>
        <v>0</v>
      </c>
      <c r="D110" s="83">
        <f t="shared" si="65"/>
        <v>0</v>
      </c>
      <c r="E110" s="83">
        <f t="shared" si="65"/>
        <v>0</v>
      </c>
      <c r="F110" s="83">
        <f t="shared" si="65"/>
        <v>0</v>
      </c>
      <c r="G110" s="83">
        <f t="shared" si="65"/>
        <v>0</v>
      </c>
      <c r="H110" s="83">
        <f t="shared" si="65"/>
        <v>0</v>
      </c>
    </row>
    <row r="111" spans="1:8">
      <c r="A111" s="75" t="s">
        <v>12</v>
      </c>
      <c r="B111" s="83">
        <f t="shared" si="65"/>
        <v>0</v>
      </c>
      <c r="C111" s="83">
        <f t="shared" si="65"/>
        <v>0</v>
      </c>
      <c r="D111" s="83">
        <f t="shared" si="65"/>
        <v>0</v>
      </c>
      <c r="E111" s="83">
        <f t="shared" si="65"/>
        <v>0</v>
      </c>
      <c r="F111" s="83">
        <f t="shared" si="65"/>
        <v>0</v>
      </c>
      <c r="G111" s="83">
        <f t="shared" si="65"/>
        <v>0</v>
      </c>
      <c r="H111" s="83">
        <f t="shared" si="65"/>
        <v>0</v>
      </c>
    </row>
    <row r="112" spans="1:8">
      <c r="A112" s="75" t="s">
        <v>31</v>
      </c>
      <c r="B112" s="83">
        <f t="shared" si="65"/>
        <v>0</v>
      </c>
      <c r="C112" s="83">
        <f t="shared" si="65"/>
        <v>0</v>
      </c>
      <c r="D112" s="83">
        <f t="shared" si="65"/>
        <v>0</v>
      </c>
      <c r="E112" s="83">
        <f t="shared" si="65"/>
        <v>0</v>
      </c>
      <c r="F112" s="83">
        <f t="shared" si="65"/>
        <v>0</v>
      </c>
      <c r="G112" s="83">
        <f t="shared" si="65"/>
        <v>0</v>
      </c>
      <c r="H112" s="83">
        <f t="shared" si="65"/>
        <v>0</v>
      </c>
    </row>
    <row r="113" spans="1:8">
      <c r="A113" s="75" t="s">
        <v>52</v>
      </c>
      <c r="B113" s="83">
        <f t="shared" si="65"/>
        <v>0</v>
      </c>
      <c r="C113" s="83">
        <f t="shared" si="65"/>
        <v>0</v>
      </c>
      <c r="D113" s="83">
        <f>D39-D76</f>
        <v>0</v>
      </c>
      <c r="E113" s="83">
        <f t="shared" si="65"/>
        <v>0</v>
      </c>
      <c r="F113" s="83">
        <f t="shared" si="65"/>
        <v>0</v>
      </c>
      <c r="G113" s="83">
        <f t="shared" si="65"/>
        <v>0</v>
      </c>
      <c r="H113" s="83">
        <f t="shared" si="65"/>
        <v>0</v>
      </c>
    </row>
    <row r="114" spans="1:8">
      <c r="A114" s="75" t="s">
        <v>12</v>
      </c>
      <c r="B114" s="83">
        <f t="shared" si="65"/>
        <v>0</v>
      </c>
      <c r="C114" s="83">
        <f t="shared" si="65"/>
        <v>0</v>
      </c>
      <c r="D114" s="83">
        <f t="shared" si="65"/>
        <v>0</v>
      </c>
      <c r="E114" s="83">
        <f t="shared" si="65"/>
        <v>0</v>
      </c>
      <c r="F114" s="83">
        <f t="shared" si="65"/>
        <v>0</v>
      </c>
      <c r="G114" s="83">
        <f t="shared" si="65"/>
        <v>0</v>
      </c>
      <c r="H114" s="83">
        <f t="shared" si="65"/>
        <v>0</v>
      </c>
    </row>
  </sheetData>
  <mergeCells count="18">
    <mergeCell ref="A19:H19"/>
    <mergeCell ref="J19:Q19"/>
    <mergeCell ref="R19:Y19"/>
    <mergeCell ref="AA19:AH19"/>
    <mergeCell ref="AJ19:AQ19"/>
    <mergeCell ref="AJ8:AQ8"/>
    <mergeCell ref="A12:H12"/>
    <mergeCell ref="J12:Q12"/>
    <mergeCell ref="R12:Y12"/>
    <mergeCell ref="AA12:AH12"/>
    <mergeCell ref="AJ12:AQ12"/>
    <mergeCell ref="AA8:AH8"/>
    <mergeCell ref="A1:H1"/>
    <mergeCell ref="A8:H8"/>
    <mergeCell ref="J8:Q8"/>
    <mergeCell ref="R8:Y8"/>
    <mergeCell ref="A3:H3"/>
    <mergeCell ref="E2:H2"/>
  </mergeCells>
  <phoneticPr fontId="17" type="noConversion"/>
  <pageMargins left="0.22" right="0.18" top="0.3" bottom="0.47" header="0.16" footer="0.3"/>
  <pageSetup paperSize="9" orientation="landscape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5"/>
  <dimension ref="A1:BC114"/>
  <sheetViews>
    <sheetView zoomScale="70" zoomScaleNormal="70" workbookViewId="0">
      <selection activeCell="A9" sqref="A9:AQ40"/>
    </sheetView>
  </sheetViews>
  <sheetFormatPr defaultRowHeight="13.2"/>
  <cols>
    <col min="1" max="1" width="15.33203125" customWidth="1"/>
    <col min="2" max="2" width="11.5546875" customWidth="1"/>
    <col min="3" max="3" width="7.6640625" customWidth="1"/>
    <col min="4" max="5" width="6.88671875" customWidth="1"/>
    <col min="6" max="6" width="7.109375" customWidth="1"/>
    <col min="7" max="7" width="7.6640625" customWidth="1"/>
    <col min="8" max="8" width="8" customWidth="1"/>
    <col min="9" max="9" width="3.88671875" customWidth="1"/>
    <col min="10" max="10" width="15.5546875" customWidth="1"/>
    <col min="14" max="14" width="7.5546875" customWidth="1"/>
    <col min="15" max="15" width="7.6640625" customWidth="1"/>
    <col min="16" max="16" width="8" customWidth="1"/>
    <col min="17" max="17" width="7.33203125" customWidth="1"/>
    <col min="18" max="18" width="7.109375" customWidth="1"/>
    <col min="19" max="19" width="8.5546875" customWidth="1"/>
    <col min="21" max="21" width="7.109375" customWidth="1"/>
    <col min="22" max="22" width="7.5546875" customWidth="1"/>
    <col min="24" max="24" width="7.109375" customWidth="1"/>
    <col min="25" max="25" width="7.6640625" customWidth="1"/>
    <col min="26" max="26" width="10.6640625" customWidth="1"/>
    <col min="27" max="27" width="7.6640625" customWidth="1"/>
    <col min="30" max="30" width="7.33203125" customWidth="1"/>
    <col min="31" max="31" width="8" customWidth="1"/>
    <col min="32" max="32" width="7.6640625" customWidth="1"/>
    <col min="33" max="33" width="7.33203125" customWidth="1"/>
  </cols>
  <sheetData>
    <row r="1" spans="1:55" s="37" customFormat="1" ht="15.6">
      <c r="Q1" s="38" t="s">
        <v>33</v>
      </c>
    </row>
    <row r="2" spans="1:55" s="12" customFormat="1" ht="15.75" customHeight="1">
      <c r="H2" s="39" t="s">
        <v>34</v>
      </c>
    </row>
    <row r="3" spans="1:55" s="12" customFormat="1" ht="18.75" customHeight="1">
      <c r="H3" s="39" t="s">
        <v>39</v>
      </c>
    </row>
    <row r="4" spans="1:55" s="37" customFormat="1" ht="35.25" customHeight="1">
      <c r="A4" s="494" t="s">
        <v>123</v>
      </c>
      <c r="B4" s="494"/>
      <c r="C4" s="494"/>
      <c r="D4" s="494"/>
      <c r="E4" s="494"/>
      <c r="F4" s="494"/>
      <c r="G4" s="494"/>
      <c r="H4" s="494"/>
      <c r="I4" s="40"/>
      <c r="J4" s="40"/>
      <c r="K4" s="12"/>
      <c r="L4" s="12"/>
      <c r="M4" s="12"/>
      <c r="N4" s="12"/>
      <c r="O4" s="12"/>
      <c r="P4" s="12"/>
      <c r="Q4" s="12"/>
    </row>
    <row r="5" spans="1:55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55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15" customFormat="1">
      <c r="A8" s="469" t="s">
        <v>17</v>
      </c>
      <c r="B8" s="470"/>
      <c r="C8" s="470"/>
      <c r="D8" s="470"/>
      <c r="E8" s="470"/>
      <c r="F8" s="470"/>
      <c r="G8" s="470"/>
      <c r="H8" s="471"/>
      <c r="J8" s="469" t="s">
        <v>17</v>
      </c>
      <c r="K8" s="470"/>
      <c r="L8" s="470"/>
      <c r="M8" s="470"/>
      <c r="N8" s="470"/>
      <c r="O8" s="470"/>
      <c r="P8" s="470"/>
      <c r="Q8" s="471"/>
      <c r="R8" s="469" t="s">
        <v>17</v>
      </c>
      <c r="S8" s="470"/>
      <c r="T8" s="470"/>
      <c r="U8" s="470"/>
      <c r="V8" s="470"/>
      <c r="W8" s="470"/>
      <c r="X8" s="470"/>
      <c r="Y8" s="471"/>
      <c r="AA8" s="469" t="s">
        <v>17</v>
      </c>
      <c r="AB8" s="470"/>
      <c r="AC8" s="470"/>
      <c r="AD8" s="470"/>
      <c r="AE8" s="470"/>
      <c r="AF8" s="470"/>
      <c r="AG8" s="470"/>
      <c r="AH8" s="471"/>
      <c r="AJ8" s="469" t="s">
        <v>17</v>
      </c>
      <c r="AK8" s="470"/>
      <c r="AL8" s="470"/>
      <c r="AM8" s="470"/>
      <c r="AN8" s="470"/>
      <c r="AO8" s="470"/>
      <c r="AP8" s="470"/>
      <c r="AQ8" s="471"/>
    </row>
    <row r="9" spans="1:55" s="115" customFormat="1">
      <c r="A9" s="33" t="s">
        <v>18</v>
      </c>
      <c r="B9" s="43">
        <f t="shared" ref="B9:H10" si="0">+K9+S9+AK9</f>
        <v>495.09999999999997</v>
      </c>
      <c r="C9" s="43">
        <f t="shared" si="0"/>
        <v>39725</v>
      </c>
      <c r="D9" s="23">
        <f t="shared" si="0"/>
        <v>33881</v>
      </c>
      <c r="E9" s="43">
        <f t="shared" si="0"/>
        <v>11046</v>
      </c>
      <c r="F9" s="43">
        <f t="shared" si="0"/>
        <v>9790</v>
      </c>
      <c r="G9" s="43">
        <f t="shared" si="0"/>
        <v>2375</v>
      </c>
      <c r="H9" s="43">
        <f t="shared" si="0"/>
        <v>10670</v>
      </c>
      <c r="J9" s="33" t="s">
        <v>18</v>
      </c>
      <c r="K9" s="42">
        <f>K13+K20</f>
        <v>117.5</v>
      </c>
      <c r="L9" s="36">
        <f>L13+L20</f>
        <v>4540</v>
      </c>
      <c r="M9" s="23">
        <f>N9+O9+P9+Q9</f>
        <v>3792</v>
      </c>
      <c r="N9" s="36">
        <f>N13+N20</f>
        <v>431</v>
      </c>
      <c r="O9" s="36">
        <f>O13+O20</f>
        <v>1322</v>
      </c>
      <c r="P9" s="36">
        <f>P13+P20</f>
        <v>424</v>
      </c>
      <c r="Q9" s="36">
        <f>Q13+Q20</f>
        <v>1615</v>
      </c>
      <c r="R9" s="33" t="s">
        <v>18</v>
      </c>
      <c r="S9" s="42">
        <f>S13+S20</f>
        <v>369.29999999999995</v>
      </c>
      <c r="T9" s="36">
        <f>T13+T20</f>
        <v>34620</v>
      </c>
      <c r="U9" s="23">
        <f>V9+W9+X9+Y9</f>
        <v>29624</v>
      </c>
      <c r="V9" s="36">
        <f t="shared" ref="V9:Y10" si="1">V13+V20</f>
        <v>10487</v>
      </c>
      <c r="W9" s="36">
        <f t="shared" si="1"/>
        <v>8373</v>
      </c>
      <c r="X9" s="36">
        <f t="shared" si="1"/>
        <v>1935</v>
      </c>
      <c r="Y9" s="36">
        <f t="shared" si="1"/>
        <v>8829</v>
      </c>
      <c r="AA9" s="33" t="s">
        <v>18</v>
      </c>
      <c r="AB9" s="42">
        <f>AB13+AB20</f>
        <v>131.10000000000002</v>
      </c>
      <c r="AC9" s="36">
        <f>AC13+AC20</f>
        <v>16221</v>
      </c>
      <c r="AD9" s="23">
        <f>AE9+AF9+AG9+AH9</f>
        <v>14624</v>
      </c>
      <c r="AE9" s="36">
        <f t="shared" ref="AE9:AH10" si="2">AE13+AE20</f>
        <v>9567</v>
      </c>
      <c r="AF9" s="36">
        <f t="shared" si="2"/>
        <v>2627</v>
      </c>
      <c r="AG9" s="36">
        <f t="shared" si="2"/>
        <v>429</v>
      </c>
      <c r="AH9" s="36">
        <f t="shared" si="2"/>
        <v>2001</v>
      </c>
      <c r="AJ9" s="33" t="s">
        <v>18</v>
      </c>
      <c r="AK9" s="42">
        <f>AK13+AK20</f>
        <v>8.3000000000000007</v>
      </c>
      <c r="AL9" s="36">
        <f>AL13+AL20</f>
        <v>565</v>
      </c>
      <c r="AM9" s="23">
        <f>AN9+AO9+AP9+AQ9</f>
        <v>465</v>
      </c>
      <c r="AN9" s="36">
        <f>AN13+AN20</f>
        <v>128</v>
      </c>
      <c r="AO9" s="36">
        <f>AO13+AO20</f>
        <v>95</v>
      </c>
      <c r="AP9" s="36">
        <f>AP13+AP20</f>
        <v>16</v>
      </c>
      <c r="AQ9" s="36">
        <f>AQ13+AQ20</f>
        <v>226</v>
      </c>
    </row>
    <row r="10" spans="1:55" s="115" customFormat="1">
      <c r="A10" s="7" t="s">
        <v>19</v>
      </c>
      <c r="B10" s="22">
        <f t="shared" si="0"/>
        <v>374.2</v>
      </c>
      <c r="C10" s="43">
        <f t="shared" si="0"/>
        <v>36300</v>
      </c>
      <c r="D10" s="43">
        <f t="shared" si="0"/>
        <v>34617</v>
      </c>
      <c r="E10" s="43">
        <f t="shared" si="0"/>
        <v>9353</v>
      </c>
      <c r="F10" s="43">
        <f t="shared" si="0"/>
        <v>6779</v>
      </c>
      <c r="G10" s="23">
        <f t="shared" si="0"/>
        <v>1259</v>
      </c>
      <c r="H10" s="23">
        <f t="shared" si="0"/>
        <v>17226</v>
      </c>
      <c r="J10" s="7" t="s">
        <v>19</v>
      </c>
      <c r="K10" s="42">
        <f>K14+K21</f>
        <v>118.1</v>
      </c>
      <c r="L10" s="36">
        <f t="shared" ref="L10:Q10" si="3">L14+L21</f>
        <v>5630</v>
      </c>
      <c r="M10" s="36">
        <f t="shared" si="3"/>
        <v>5363</v>
      </c>
      <c r="N10" s="36">
        <f t="shared" si="3"/>
        <v>568</v>
      </c>
      <c r="O10" s="36">
        <f t="shared" si="3"/>
        <v>1015</v>
      </c>
      <c r="P10" s="36">
        <f t="shared" si="3"/>
        <v>113</v>
      </c>
      <c r="Q10" s="36">
        <f t="shared" si="3"/>
        <v>3667</v>
      </c>
      <c r="R10" s="7" t="s">
        <v>19</v>
      </c>
      <c r="S10" s="33">
        <f>S14+S21</f>
        <v>243.90000000000003</v>
      </c>
      <c r="T10" s="33">
        <f>T14+T21</f>
        <v>29470</v>
      </c>
      <c r="U10" s="23">
        <f>V10+W10+X10+Y10</f>
        <v>28103</v>
      </c>
      <c r="V10" s="33">
        <f t="shared" si="1"/>
        <v>8612</v>
      </c>
      <c r="W10" s="33">
        <f t="shared" si="1"/>
        <v>5736</v>
      </c>
      <c r="X10" s="33">
        <f t="shared" si="1"/>
        <v>1143</v>
      </c>
      <c r="Y10" s="33">
        <f t="shared" si="1"/>
        <v>12612</v>
      </c>
      <c r="AA10" s="7" t="s">
        <v>19</v>
      </c>
      <c r="AB10" s="42">
        <f>AB14+AB21</f>
        <v>108.19999999999999</v>
      </c>
      <c r="AC10" s="36">
        <f>AC14+AC21</f>
        <v>14930</v>
      </c>
      <c r="AD10" s="23">
        <f>AE10+AF10+AG10+AH10</f>
        <v>14501</v>
      </c>
      <c r="AE10" s="36">
        <f t="shared" si="2"/>
        <v>8365</v>
      </c>
      <c r="AF10" s="36">
        <f t="shared" si="2"/>
        <v>1932</v>
      </c>
      <c r="AG10" s="36">
        <f t="shared" si="2"/>
        <v>119</v>
      </c>
      <c r="AH10" s="36">
        <f t="shared" si="2"/>
        <v>4085</v>
      </c>
      <c r="AJ10" s="7" t="s">
        <v>19</v>
      </c>
      <c r="AK10" s="42">
        <f>AK14+AK21</f>
        <v>12.2</v>
      </c>
      <c r="AL10" s="36">
        <f t="shared" ref="AL10:AQ10" si="4">AL14+AL21</f>
        <v>1200</v>
      </c>
      <c r="AM10" s="36">
        <f t="shared" si="4"/>
        <v>1151</v>
      </c>
      <c r="AN10" s="36">
        <f t="shared" si="4"/>
        <v>173</v>
      </c>
      <c r="AO10" s="36">
        <f t="shared" si="4"/>
        <v>28</v>
      </c>
      <c r="AP10" s="36">
        <f t="shared" si="4"/>
        <v>3</v>
      </c>
      <c r="AQ10" s="36">
        <f t="shared" si="4"/>
        <v>947</v>
      </c>
    </row>
    <row r="11" spans="1:55" s="115" customFormat="1">
      <c r="A11" s="33" t="s">
        <v>20</v>
      </c>
      <c r="B11" s="23">
        <f t="shared" ref="B11:H11" si="5">+B10/B9*100</f>
        <v>75.580690769541519</v>
      </c>
      <c r="C11" s="23">
        <f t="shared" si="5"/>
        <v>91.378225298930147</v>
      </c>
      <c r="D11" s="23">
        <f t="shared" si="5"/>
        <v>102.17230896372598</v>
      </c>
      <c r="E11" s="23">
        <f t="shared" si="5"/>
        <v>84.673184863298928</v>
      </c>
      <c r="F11" s="23">
        <f t="shared" si="5"/>
        <v>69.244126659857002</v>
      </c>
      <c r="G11" s="23">
        <f t="shared" si="5"/>
        <v>53.010526315789477</v>
      </c>
      <c r="H11" s="23">
        <f t="shared" si="5"/>
        <v>161.44329896907217</v>
      </c>
      <c r="J11" s="33" t="s">
        <v>20</v>
      </c>
      <c r="K11" s="23">
        <f>+K10/K9*100</f>
        <v>100.51063829787235</v>
      </c>
      <c r="L11" s="23">
        <f t="shared" ref="L11:Q11" si="6">+L10/L9*100</f>
        <v>124.00881057268722</v>
      </c>
      <c r="M11" s="23">
        <f t="shared" si="6"/>
        <v>141.42932489451476</v>
      </c>
      <c r="N11" s="23">
        <f t="shared" si="6"/>
        <v>131.78654292343387</v>
      </c>
      <c r="O11" s="23">
        <f t="shared" si="6"/>
        <v>76.777609682299541</v>
      </c>
      <c r="P11" s="23">
        <f t="shared" si="6"/>
        <v>26.650943396226417</v>
      </c>
      <c r="Q11" s="23">
        <f t="shared" si="6"/>
        <v>227.05882352941177</v>
      </c>
      <c r="R11" s="33" t="s">
        <v>20</v>
      </c>
      <c r="S11" s="23">
        <f t="shared" ref="S11:Y11" si="7">+S10/S9*100</f>
        <v>66.043866774979705</v>
      </c>
      <c r="T11" s="23">
        <f t="shared" si="7"/>
        <v>85.124205661467357</v>
      </c>
      <c r="U11" s="23">
        <f t="shared" si="7"/>
        <v>94.865649473399955</v>
      </c>
      <c r="V11" s="23">
        <f t="shared" si="7"/>
        <v>82.120720892533612</v>
      </c>
      <c r="W11" s="23">
        <f t="shared" si="7"/>
        <v>68.505911859548547</v>
      </c>
      <c r="X11" s="23">
        <f t="shared" si="7"/>
        <v>59.069767441860463</v>
      </c>
      <c r="Y11" s="23">
        <f t="shared" si="7"/>
        <v>142.84743459055386</v>
      </c>
      <c r="AA11" s="33" t="s">
        <v>20</v>
      </c>
      <c r="AB11" s="23">
        <f t="shared" ref="AB11:AH11" si="8">+AB10/AB9*100</f>
        <v>82.532418001525528</v>
      </c>
      <c r="AC11" s="23">
        <f t="shared" si="8"/>
        <v>92.041181184883797</v>
      </c>
      <c r="AD11" s="23">
        <f t="shared" si="8"/>
        <v>99.158916849015327</v>
      </c>
      <c r="AE11" s="23">
        <f t="shared" si="8"/>
        <v>87.435977840493365</v>
      </c>
      <c r="AF11" s="23">
        <f t="shared" si="8"/>
        <v>73.543966501712973</v>
      </c>
      <c r="AG11" s="23">
        <f t="shared" si="8"/>
        <v>27.738927738927739</v>
      </c>
      <c r="AH11" s="23">
        <f t="shared" si="8"/>
        <v>204.14792603698152</v>
      </c>
      <c r="AJ11" s="33" t="s">
        <v>20</v>
      </c>
      <c r="AK11" s="23">
        <f t="shared" ref="AK11:AQ11" si="9">+AK10/AK9*100</f>
        <v>146.98795180722891</v>
      </c>
      <c r="AL11" s="23">
        <f t="shared" si="9"/>
        <v>212.38938053097348</v>
      </c>
      <c r="AM11" s="23">
        <f t="shared" si="9"/>
        <v>247.52688172043008</v>
      </c>
      <c r="AN11" s="23">
        <f t="shared" si="9"/>
        <v>135.15625</v>
      </c>
      <c r="AO11" s="23">
        <f t="shared" si="9"/>
        <v>29.473684210526311</v>
      </c>
      <c r="AP11" s="23">
        <f t="shared" si="9"/>
        <v>18.75</v>
      </c>
      <c r="AQ11" s="23">
        <f t="shared" si="9"/>
        <v>419.02654867256632</v>
      </c>
    </row>
    <row r="12" spans="1:55" s="364" customFormat="1" ht="12.75" customHeight="1">
      <c r="A12" s="461" t="s">
        <v>11</v>
      </c>
      <c r="B12" s="462"/>
      <c r="C12" s="462"/>
      <c r="D12" s="462"/>
      <c r="E12" s="462"/>
      <c r="F12" s="462"/>
      <c r="G12" s="462"/>
      <c r="H12" s="463"/>
      <c r="J12" s="461" t="s">
        <v>11</v>
      </c>
      <c r="K12" s="462"/>
      <c r="L12" s="462"/>
      <c r="M12" s="462"/>
      <c r="N12" s="462"/>
      <c r="O12" s="462"/>
      <c r="P12" s="462"/>
      <c r="Q12" s="463"/>
      <c r="R12" s="461" t="s">
        <v>11</v>
      </c>
      <c r="S12" s="462"/>
      <c r="T12" s="462"/>
      <c r="U12" s="462"/>
      <c r="V12" s="462"/>
      <c r="W12" s="462"/>
      <c r="X12" s="462"/>
      <c r="Y12" s="463"/>
      <c r="AA12" s="461" t="s">
        <v>11</v>
      </c>
      <c r="AB12" s="462"/>
      <c r="AC12" s="462"/>
      <c r="AD12" s="462"/>
      <c r="AE12" s="462"/>
      <c r="AF12" s="462"/>
      <c r="AG12" s="462"/>
      <c r="AH12" s="463"/>
      <c r="AJ12" s="461" t="s">
        <v>11</v>
      </c>
      <c r="AK12" s="462"/>
      <c r="AL12" s="462"/>
      <c r="AM12" s="462"/>
      <c r="AN12" s="462"/>
      <c r="AO12" s="462"/>
      <c r="AP12" s="462"/>
      <c r="AQ12" s="463"/>
    </row>
    <row r="13" spans="1:55" s="364" customFormat="1">
      <c r="A13" s="248" t="s">
        <v>18</v>
      </c>
      <c r="B13" s="6">
        <f t="shared" ref="B13:H14" si="10">+K13+S13+AK13</f>
        <v>6.4</v>
      </c>
      <c r="C13" s="6">
        <f t="shared" si="10"/>
        <v>416</v>
      </c>
      <c r="D13" s="6">
        <f t="shared" si="10"/>
        <v>343</v>
      </c>
      <c r="E13" s="6">
        <f t="shared" si="10"/>
        <v>91</v>
      </c>
      <c r="F13" s="6">
        <f t="shared" si="10"/>
        <v>171</v>
      </c>
      <c r="G13" s="6">
        <f t="shared" si="10"/>
        <v>25</v>
      </c>
      <c r="H13" s="6">
        <f t="shared" si="10"/>
        <v>56</v>
      </c>
      <c r="J13" s="248" t="s">
        <v>18</v>
      </c>
      <c r="K13" s="6">
        <v>2.9</v>
      </c>
      <c r="L13" s="6">
        <v>126</v>
      </c>
      <c r="M13" s="9">
        <f>N13+O13+P13+Q13</f>
        <v>98</v>
      </c>
      <c r="N13" s="6">
        <v>15</v>
      </c>
      <c r="O13" s="6">
        <v>48</v>
      </c>
      <c r="P13" s="6">
        <v>13</v>
      </c>
      <c r="Q13" s="6">
        <v>22</v>
      </c>
      <c r="R13" s="248" t="s">
        <v>18</v>
      </c>
      <c r="S13" s="6">
        <v>3.5</v>
      </c>
      <c r="T13" s="6">
        <v>290</v>
      </c>
      <c r="U13" s="9">
        <f>V13+W13+X13+Y13</f>
        <v>245</v>
      </c>
      <c r="V13" s="6">
        <v>76</v>
      </c>
      <c r="W13" s="6">
        <v>123</v>
      </c>
      <c r="X13" s="6">
        <v>12</v>
      </c>
      <c r="Y13" s="6">
        <v>34</v>
      </c>
      <c r="AA13" s="248" t="s">
        <v>18</v>
      </c>
      <c r="AB13" s="6">
        <v>3.5</v>
      </c>
      <c r="AC13" s="6">
        <v>290</v>
      </c>
      <c r="AD13" s="9">
        <f>AE13+AF13+AG13+AH13</f>
        <v>245</v>
      </c>
      <c r="AE13" s="6">
        <v>76</v>
      </c>
      <c r="AF13" s="6">
        <v>123</v>
      </c>
      <c r="AG13" s="6">
        <v>12</v>
      </c>
      <c r="AH13" s="6">
        <v>34</v>
      </c>
      <c r="AJ13" s="248" t="s">
        <v>18</v>
      </c>
      <c r="AK13" s="6">
        <v>0</v>
      </c>
      <c r="AL13" s="6">
        <v>0</v>
      </c>
      <c r="AM13" s="9">
        <f>AN13+AO13+AP13+AQ13</f>
        <v>0</v>
      </c>
      <c r="AN13" s="6">
        <v>0</v>
      </c>
      <c r="AO13" s="6">
        <v>0</v>
      </c>
      <c r="AP13" s="6">
        <v>0</v>
      </c>
      <c r="AQ13" s="6">
        <v>0</v>
      </c>
    </row>
    <row r="14" spans="1:55" s="364" customFormat="1">
      <c r="A14" s="18" t="s">
        <v>19</v>
      </c>
      <c r="B14" s="6">
        <f t="shared" si="10"/>
        <v>2.5</v>
      </c>
      <c r="C14" s="6">
        <f t="shared" si="10"/>
        <v>100</v>
      </c>
      <c r="D14" s="6">
        <f t="shared" si="10"/>
        <v>94</v>
      </c>
      <c r="E14" s="6">
        <f t="shared" si="10"/>
        <v>0</v>
      </c>
      <c r="F14" s="6">
        <f t="shared" si="10"/>
        <v>9</v>
      </c>
      <c r="G14" s="6">
        <f t="shared" si="10"/>
        <v>1</v>
      </c>
      <c r="H14" s="6">
        <f t="shared" si="10"/>
        <v>84</v>
      </c>
      <c r="J14" s="18" t="s">
        <v>19</v>
      </c>
      <c r="K14" s="6">
        <v>2.5</v>
      </c>
      <c r="L14" s="6">
        <v>100</v>
      </c>
      <c r="M14" s="9">
        <f>N14+O14+P14+Q14</f>
        <v>94</v>
      </c>
      <c r="N14" s="6">
        <v>0</v>
      </c>
      <c r="O14" s="6">
        <v>9</v>
      </c>
      <c r="P14" s="6">
        <v>1</v>
      </c>
      <c r="Q14" s="6">
        <v>84</v>
      </c>
      <c r="R14" s="18" t="s">
        <v>19</v>
      </c>
      <c r="S14" s="6">
        <v>0</v>
      </c>
      <c r="T14" s="6">
        <v>0</v>
      </c>
      <c r="U14" s="9">
        <f>V14+W14+X14+Y14</f>
        <v>0</v>
      </c>
      <c r="V14" s="6">
        <v>0</v>
      </c>
      <c r="W14" s="6">
        <v>0</v>
      </c>
      <c r="X14" s="6">
        <v>0</v>
      </c>
      <c r="Y14" s="6">
        <v>0</v>
      </c>
      <c r="AA14" s="18" t="s">
        <v>19</v>
      </c>
      <c r="AB14" s="6">
        <v>0</v>
      </c>
      <c r="AC14" s="6">
        <v>0</v>
      </c>
      <c r="AD14" s="9">
        <f>AE14+AF14+AG14+AH14</f>
        <v>0</v>
      </c>
      <c r="AE14" s="6">
        <v>0</v>
      </c>
      <c r="AF14" s="6">
        <v>0</v>
      </c>
      <c r="AG14" s="6">
        <v>0</v>
      </c>
      <c r="AH14" s="6">
        <v>0</v>
      </c>
      <c r="AJ14" s="18" t="s">
        <v>19</v>
      </c>
      <c r="AK14" s="6">
        <v>0</v>
      </c>
      <c r="AL14" s="6">
        <v>0</v>
      </c>
      <c r="AM14" s="9">
        <f>AN14+AO14+AP14+AQ14</f>
        <v>0</v>
      </c>
      <c r="AN14" s="6">
        <v>0</v>
      </c>
      <c r="AO14" s="6">
        <v>0</v>
      </c>
      <c r="AP14" s="6">
        <v>0</v>
      </c>
      <c r="AQ14" s="6">
        <v>0</v>
      </c>
    </row>
    <row r="15" spans="1:55" s="364" customFormat="1">
      <c r="A15" s="248" t="s">
        <v>20</v>
      </c>
      <c r="B15" s="26">
        <f t="shared" ref="B15:H15" si="11">+B14/B13*100</f>
        <v>39.0625</v>
      </c>
      <c r="C15" s="26">
        <f t="shared" si="11"/>
        <v>24.03846153846154</v>
      </c>
      <c r="D15" s="26">
        <f t="shared" si="11"/>
        <v>27.405247813411076</v>
      </c>
      <c r="E15" s="26">
        <f t="shared" si="11"/>
        <v>0</v>
      </c>
      <c r="F15" s="26">
        <f t="shared" si="11"/>
        <v>5.2631578947368416</v>
      </c>
      <c r="G15" s="26">
        <f t="shared" si="11"/>
        <v>4</v>
      </c>
      <c r="H15" s="26">
        <f t="shared" si="11"/>
        <v>150</v>
      </c>
      <c r="J15" s="248" t="s">
        <v>20</v>
      </c>
      <c r="K15" s="26">
        <f t="shared" ref="K15:Q15" si="12">+K14/K13*100</f>
        <v>86.206896551724142</v>
      </c>
      <c r="L15" s="26">
        <f t="shared" si="12"/>
        <v>79.365079365079367</v>
      </c>
      <c r="M15" s="26">
        <f t="shared" si="12"/>
        <v>95.918367346938766</v>
      </c>
      <c r="N15" s="26">
        <f t="shared" si="12"/>
        <v>0</v>
      </c>
      <c r="O15" s="26">
        <f t="shared" si="12"/>
        <v>18.75</v>
      </c>
      <c r="P15" s="26">
        <f t="shared" si="12"/>
        <v>7.6923076923076925</v>
      </c>
      <c r="Q15" s="26">
        <f t="shared" si="12"/>
        <v>381.81818181818181</v>
      </c>
      <c r="R15" s="248" t="s">
        <v>20</v>
      </c>
      <c r="S15" s="26">
        <f t="shared" ref="S15:Y15" si="13">+S14/S13*100</f>
        <v>0</v>
      </c>
      <c r="T15" s="26">
        <f t="shared" si="13"/>
        <v>0</v>
      </c>
      <c r="U15" s="26">
        <f t="shared" si="13"/>
        <v>0</v>
      </c>
      <c r="V15" s="26">
        <f t="shared" si="13"/>
        <v>0</v>
      </c>
      <c r="W15" s="26">
        <f t="shared" si="13"/>
        <v>0</v>
      </c>
      <c r="X15" s="26">
        <f t="shared" si="13"/>
        <v>0</v>
      </c>
      <c r="Y15" s="26">
        <f t="shared" si="13"/>
        <v>0</v>
      </c>
      <c r="AA15" s="248" t="s">
        <v>20</v>
      </c>
      <c r="AB15" s="26">
        <f t="shared" ref="AB15:AH15" si="14">+AB14/AB13*100</f>
        <v>0</v>
      </c>
      <c r="AC15" s="26">
        <f t="shared" si="14"/>
        <v>0</v>
      </c>
      <c r="AD15" s="26">
        <f t="shared" si="14"/>
        <v>0</v>
      </c>
      <c r="AE15" s="26">
        <f t="shared" si="14"/>
        <v>0</v>
      </c>
      <c r="AF15" s="26">
        <f t="shared" si="14"/>
        <v>0</v>
      </c>
      <c r="AG15" s="26">
        <f t="shared" si="14"/>
        <v>0</v>
      </c>
      <c r="AH15" s="26">
        <f t="shared" si="14"/>
        <v>0</v>
      </c>
      <c r="AJ15" s="248" t="s">
        <v>20</v>
      </c>
      <c r="AK15" s="26" t="e">
        <f t="shared" ref="AK15:AQ15" si="15">+AK14/AK13*100</f>
        <v>#DIV/0!</v>
      </c>
      <c r="AL15" s="26" t="e">
        <f t="shared" si="15"/>
        <v>#DIV/0!</v>
      </c>
      <c r="AM15" s="26" t="e">
        <f t="shared" si="15"/>
        <v>#DIV/0!</v>
      </c>
      <c r="AN15" s="26" t="e">
        <f t="shared" si="15"/>
        <v>#DIV/0!</v>
      </c>
      <c r="AO15" s="26" t="e">
        <f t="shared" si="15"/>
        <v>#DIV/0!</v>
      </c>
      <c r="AP15" s="26" t="e">
        <f t="shared" si="15"/>
        <v>#DIV/0!</v>
      </c>
      <c r="AQ15" s="26" t="e">
        <f t="shared" si="15"/>
        <v>#DIV/0!</v>
      </c>
    </row>
    <row r="16" spans="1:55" s="364" customFormat="1">
      <c r="A16" s="6" t="s">
        <v>13</v>
      </c>
      <c r="B16" s="6">
        <f t="shared" ref="B16:H18" si="16">+K16+S16+AK16</f>
        <v>0</v>
      </c>
      <c r="C16" s="6">
        <f t="shared" si="16"/>
        <v>0</v>
      </c>
      <c r="D16" s="6">
        <f t="shared" si="16"/>
        <v>0</v>
      </c>
      <c r="E16" s="6">
        <f t="shared" si="16"/>
        <v>0</v>
      </c>
      <c r="F16" s="6">
        <f t="shared" si="16"/>
        <v>0</v>
      </c>
      <c r="G16" s="6">
        <f t="shared" si="16"/>
        <v>0</v>
      </c>
      <c r="H16" s="6">
        <f t="shared" si="16"/>
        <v>0</v>
      </c>
      <c r="J16" s="6" t="s">
        <v>13</v>
      </c>
      <c r="K16" s="6">
        <v>0</v>
      </c>
      <c r="L16" s="6">
        <v>0</v>
      </c>
      <c r="M16" s="9">
        <f>N16+O16+P16+Q16</f>
        <v>0</v>
      </c>
      <c r="N16" s="6">
        <v>0</v>
      </c>
      <c r="O16" s="6">
        <v>0</v>
      </c>
      <c r="P16" s="6">
        <v>0</v>
      </c>
      <c r="Q16" s="6">
        <v>0</v>
      </c>
      <c r="R16" s="6" t="s">
        <v>13</v>
      </c>
      <c r="S16" s="6">
        <v>0</v>
      </c>
      <c r="T16" s="6">
        <v>0</v>
      </c>
      <c r="U16" s="9">
        <f>V16+W16+X16+Y16</f>
        <v>0</v>
      </c>
      <c r="V16" s="6">
        <v>0</v>
      </c>
      <c r="W16" s="6">
        <v>0</v>
      </c>
      <c r="X16" s="6">
        <v>0</v>
      </c>
      <c r="Y16" s="6">
        <v>0</v>
      </c>
      <c r="AA16" s="6" t="s">
        <v>13</v>
      </c>
      <c r="AB16" s="6">
        <v>0</v>
      </c>
      <c r="AC16" s="6">
        <v>11</v>
      </c>
      <c r="AD16" s="9">
        <f>AE16+AF16+AG16+AH16</f>
        <v>9</v>
      </c>
      <c r="AE16" s="6">
        <v>1</v>
      </c>
      <c r="AF16" s="6">
        <v>6</v>
      </c>
      <c r="AG16" s="6">
        <v>0</v>
      </c>
      <c r="AH16" s="6">
        <v>2</v>
      </c>
      <c r="AJ16" s="6" t="s">
        <v>13</v>
      </c>
      <c r="AK16" s="6">
        <v>0</v>
      </c>
      <c r="AL16" s="6">
        <v>0</v>
      </c>
      <c r="AM16" s="9">
        <f>AN16+AO16+AP16+AQ16</f>
        <v>0</v>
      </c>
      <c r="AN16" s="6">
        <v>0</v>
      </c>
      <c r="AO16" s="6">
        <v>0</v>
      </c>
      <c r="AP16" s="6">
        <v>0</v>
      </c>
      <c r="AQ16" s="6">
        <v>0</v>
      </c>
    </row>
    <row r="17" spans="1:43" s="364" customFormat="1">
      <c r="A17" s="6" t="s">
        <v>14</v>
      </c>
      <c r="B17" s="6">
        <f t="shared" si="16"/>
        <v>0</v>
      </c>
      <c r="C17" s="6">
        <f t="shared" si="16"/>
        <v>0</v>
      </c>
      <c r="D17" s="6">
        <f t="shared" si="16"/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J17" s="6" t="s">
        <v>14</v>
      </c>
      <c r="K17" s="27">
        <v>0</v>
      </c>
      <c r="L17" s="6">
        <v>0</v>
      </c>
      <c r="M17" s="9">
        <f>N17+O17+P17+Q17</f>
        <v>0</v>
      </c>
      <c r="N17" s="6">
        <v>0</v>
      </c>
      <c r="O17" s="6">
        <v>0</v>
      </c>
      <c r="P17" s="6">
        <v>0</v>
      </c>
      <c r="Q17" s="6">
        <v>0</v>
      </c>
      <c r="R17" s="6" t="s">
        <v>14</v>
      </c>
      <c r="S17" s="6">
        <v>0</v>
      </c>
      <c r="T17" s="6">
        <v>0</v>
      </c>
      <c r="U17" s="9">
        <f>V17+W17+X17+Y17</f>
        <v>0</v>
      </c>
      <c r="V17" s="6">
        <v>0</v>
      </c>
      <c r="W17" s="6">
        <v>0</v>
      </c>
      <c r="X17" s="6">
        <v>0</v>
      </c>
      <c r="Y17" s="6">
        <v>0</v>
      </c>
      <c r="AA17" s="6" t="s">
        <v>14</v>
      </c>
      <c r="AB17" s="6">
        <v>0</v>
      </c>
      <c r="AC17" s="6">
        <v>0</v>
      </c>
      <c r="AD17" s="9">
        <f>AE17+AF17+AG17+AH17</f>
        <v>0</v>
      </c>
      <c r="AE17" s="6">
        <v>0</v>
      </c>
      <c r="AF17" s="6">
        <v>0</v>
      </c>
      <c r="AG17" s="6">
        <v>0</v>
      </c>
      <c r="AH17" s="6">
        <v>0</v>
      </c>
      <c r="AJ17" s="6" t="s">
        <v>14</v>
      </c>
      <c r="AK17" s="6">
        <v>0</v>
      </c>
      <c r="AL17" s="6">
        <v>0</v>
      </c>
      <c r="AM17" s="9">
        <f>AN17+AO17+AP17+AQ17</f>
        <v>0</v>
      </c>
      <c r="AN17" s="6">
        <v>0</v>
      </c>
      <c r="AO17" s="6">
        <v>0</v>
      </c>
      <c r="AP17" s="6">
        <v>0</v>
      </c>
      <c r="AQ17" s="6">
        <v>0</v>
      </c>
    </row>
    <row r="18" spans="1:43">
      <c r="A18" s="6" t="s">
        <v>15</v>
      </c>
      <c r="B18" s="6">
        <f t="shared" si="16"/>
        <v>0</v>
      </c>
      <c r="C18" s="6">
        <f t="shared" si="16"/>
        <v>0</v>
      </c>
      <c r="D18" s="6">
        <f t="shared" si="16"/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J18" s="6" t="s">
        <v>15</v>
      </c>
      <c r="K18" s="6">
        <v>0</v>
      </c>
      <c r="L18" s="6">
        <v>0</v>
      </c>
      <c r="M18" s="9">
        <f>N18+O18+P18+Q18</f>
        <v>0</v>
      </c>
      <c r="N18" s="6">
        <v>0</v>
      </c>
      <c r="O18" s="6">
        <v>0</v>
      </c>
      <c r="P18" s="6">
        <v>0</v>
      </c>
      <c r="Q18" s="6">
        <v>0</v>
      </c>
      <c r="R18" s="6" t="s">
        <v>15</v>
      </c>
      <c r="S18" s="6">
        <v>0</v>
      </c>
      <c r="T18" s="6">
        <v>0</v>
      </c>
      <c r="U18" s="9">
        <f>V18+W18+X18+Y18</f>
        <v>0</v>
      </c>
      <c r="V18" s="6">
        <v>0</v>
      </c>
      <c r="W18" s="6">
        <v>0</v>
      </c>
      <c r="X18" s="6">
        <v>0</v>
      </c>
      <c r="Y18" s="6">
        <v>0</v>
      </c>
      <c r="AA18" s="6" t="s">
        <v>15</v>
      </c>
      <c r="AB18" s="6">
        <v>0</v>
      </c>
      <c r="AC18" s="6">
        <v>0</v>
      </c>
      <c r="AD18" s="9">
        <f>AE18+AF18+AG18+AH18</f>
        <v>0</v>
      </c>
      <c r="AE18" s="6">
        <v>0</v>
      </c>
      <c r="AF18" s="6">
        <v>0</v>
      </c>
      <c r="AG18" s="6">
        <v>0</v>
      </c>
      <c r="AH18" s="6">
        <v>0</v>
      </c>
      <c r="AJ18" s="6" t="s">
        <v>15</v>
      </c>
      <c r="AK18" s="6">
        <v>0</v>
      </c>
      <c r="AL18" s="6">
        <v>0</v>
      </c>
      <c r="AM18" s="9">
        <f>AN18+AO18+AP18+AQ18</f>
        <v>0</v>
      </c>
      <c r="AN18" s="6">
        <v>0</v>
      </c>
      <c r="AO18" s="6">
        <v>0</v>
      </c>
      <c r="AP18" s="6">
        <v>0</v>
      </c>
      <c r="AQ18" s="6">
        <v>0</v>
      </c>
    </row>
    <row r="19" spans="1:43" ht="12.75" customHeight="1">
      <c r="A19" s="461" t="s">
        <v>16</v>
      </c>
      <c r="B19" s="462"/>
      <c r="C19" s="462"/>
      <c r="D19" s="462"/>
      <c r="E19" s="462"/>
      <c r="F19" s="462"/>
      <c r="G19" s="462"/>
      <c r="H19" s="463"/>
      <c r="J19" s="461" t="s">
        <v>16</v>
      </c>
      <c r="K19" s="462"/>
      <c r="L19" s="462"/>
      <c r="M19" s="462"/>
      <c r="N19" s="462"/>
      <c r="O19" s="462"/>
      <c r="P19" s="462"/>
      <c r="Q19" s="463"/>
      <c r="R19" s="461" t="s">
        <v>16</v>
      </c>
      <c r="S19" s="462"/>
      <c r="T19" s="462"/>
      <c r="U19" s="462"/>
      <c r="V19" s="462"/>
      <c r="W19" s="462"/>
      <c r="X19" s="462"/>
      <c r="Y19" s="463"/>
      <c r="AA19" s="461" t="s">
        <v>16</v>
      </c>
      <c r="AB19" s="462"/>
      <c r="AC19" s="462"/>
      <c r="AD19" s="462"/>
      <c r="AE19" s="462"/>
      <c r="AF19" s="462"/>
      <c r="AG19" s="462"/>
      <c r="AH19" s="463"/>
      <c r="AJ19" s="461" t="s">
        <v>16</v>
      </c>
      <c r="AK19" s="462"/>
      <c r="AL19" s="462"/>
      <c r="AM19" s="462"/>
      <c r="AN19" s="462"/>
      <c r="AO19" s="462"/>
      <c r="AP19" s="462"/>
      <c r="AQ19" s="463"/>
    </row>
    <row r="20" spans="1:43">
      <c r="A20" s="248" t="s">
        <v>18</v>
      </c>
      <c r="B20" s="6">
        <f t="shared" ref="B20:H21" si="17">+K20+S20+AK20</f>
        <v>488.7</v>
      </c>
      <c r="C20" s="6">
        <f t="shared" si="17"/>
        <v>39309</v>
      </c>
      <c r="D20" s="6">
        <f t="shared" si="17"/>
        <v>33538</v>
      </c>
      <c r="E20" s="6">
        <f t="shared" si="17"/>
        <v>10955</v>
      </c>
      <c r="F20" s="6">
        <f t="shared" si="17"/>
        <v>9619</v>
      </c>
      <c r="G20" s="6">
        <f t="shared" si="17"/>
        <v>2350</v>
      </c>
      <c r="H20" s="6">
        <f t="shared" si="17"/>
        <v>10614</v>
      </c>
      <c r="J20" s="248" t="s">
        <v>18</v>
      </c>
      <c r="K20" s="8">
        <f>K23+K26+K29+K32+K35+K38</f>
        <v>114.6</v>
      </c>
      <c r="L20" s="248">
        <f>L23+L26+L29+L32+L35+L38</f>
        <v>4414</v>
      </c>
      <c r="M20" s="9">
        <f>N20+O20+P20+Q20</f>
        <v>3694</v>
      </c>
      <c r="N20" s="248">
        <f t="shared" ref="N20:Q21" si="18">N23+N26+N29+N32+N35+N38</f>
        <v>416</v>
      </c>
      <c r="O20" s="248">
        <f t="shared" si="18"/>
        <v>1274</v>
      </c>
      <c r="P20" s="248">
        <f t="shared" si="18"/>
        <v>411</v>
      </c>
      <c r="Q20" s="248">
        <f t="shared" si="18"/>
        <v>1593</v>
      </c>
      <c r="R20" s="248" t="s">
        <v>18</v>
      </c>
      <c r="S20" s="8">
        <f>S23+S26+S29+S32+S35+S38</f>
        <v>365.79999999999995</v>
      </c>
      <c r="T20" s="248">
        <f>T23+T26+T29+T32+T35+T38</f>
        <v>34330</v>
      </c>
      <c r="U20" s="9">
        <f>V20+W20+X20+Y20</f>
        <v>29379</v>
      </c>
      <c r="V20" s="248">
        <f t="shared" ref="V20:Y21" si="19">V23+V26+V29+V32+V35+V38</f>
        <v>10411</v>
      </c>
      <c r="W20" s="248">
        <f t="shared" si="19"/>
        <v>8250</v>
      </c>
      <c r="X20" s="248">
        <f t="shared" si="19"/>
        <v>1923</v>
      </c>
      <c r="Y20" s="248">
        <f t="shared" si="19"/>
        <v>8795</v>
      </c>
      <c r="AA20" s="248" t="s">
        <v>18</v>
      </c>
      <c r="AB20" s="8">
        <f>AB23+AB26+AB29+AB32+AB35+AB38</f>
        <v>127.60000000000001</v>
      </c>
      <c r="AC20" s="248">
        <f t="shared" ref="AC20:AH20" si="20">AC23+AC26+AC29+AC32+AC35+AC38</f>
        <v>15931</v>
      </c>
      <c r="AD20" s="9">
        <f>AE20+AF20+AG20+AH20</f>
        <v>14379</v>
      </c>
      <c r="AE20" s="248">
        <f t="shared" si="20"/>
        <v>9491</v>
      </c>
      <c r="AF20" s="248">
        <f t="shared" si="20"/>
        <v>2504</v>
      </c>
      <c r="AG20" s="248">
        <f t="shared" si="20"/>
        <v>417</v>
      </c>
      <c r="AH20" s="248">
        <f t="shared" si="20"/>
        <v>1967</v>
      </c>
      <c r="AJ20" s="248" t="s">
        <v>18</v>
      </c>
      <c r="AK20" s="27">
        <f>AK23+AK26+AK29+AK32+AK35+AK38</f>
        <v>8.3000000000000007</v>
      </c>
      <c r="AL20" s="6">
        <f t="shared" ref="AL20:AQ20" si="21">AL23+AL26+AL29+AL32+AL35+AL38</f>
        <v>565</v>
      </c>
      <c r="AM20" s="9">
        <f>AN20+AO20+AP20+AQ20</f>
        <v>465</v>
      </c>
      <c r="AN20" s="26">
        <f>AN23+AN26+AN29+AN32+AN35+AN38</f>
        <v>128</v>
      </c>
      <c r="AO20" s="6">
        <f t="shared" si="21"/>
        <v>95</v>
      </c>
      <c r="AP20" s="6">
        <f t="shared" si="21"/>
        <v>16</v>
      </c>
      <c r="AQ20" s="6">
        <f t="shared" si="21"/>
        <v>226</v>
      </c>
    </row>
    <row r="21" spans="1:43" s="364" customFormat="1">
      <c r="A21" s="18" t="s">
        <v>19</v>
      </c>
      <c r="B21" s="6">
        <f t="shared" si="17"/>
        <v>371.7</v>
      </c>
      <c r="C21" s="6">
        <f t="shared" si="17"/>
        <v>36200</v>
      </c>
      <c r="D21" s="6">
        <f t="shared" si="17"/>
        <v>34523</v>
      </c>
      <c r="E21" s="6">
        <f t="shared" si="17"/>
        <v>9353</v>
      </c>
      <c r="F21" s="6">
        <f t="shared" si="17"/>
        <v>6770</v>
      </c>
      <c r="G21" s="6">
        <f t="shared" si="17"/>
        <v>1258</v>
      </c>
      <c r="H21" s="6">
        <f t="shared" si="17"/>
        <v>17142</v>
      </c>
      <c r="J21" s="18" t="s">
        <v>19</v>
      </c>
      <c r="K21" s="27">
        <f>K24+K27+K30+K33+K36+K39</f>
        <v>115.6</v>
      </c>
      <c r="L21" s="26">
        <f>L24+L27+L30+L33+L36+L39</f>
        <v>5530</v>
      </c>
      <c r="M21" s="26">
        <f>M24+M27+M30+M33+M36+M39</f>
        <v>5269</v>
      </c>
      <c r="N21" s="26">
        <f t="shared" si="18"/>
        <v>568</v>
      </c>
      <c r="O21" s="26">
        <f t="shared" si="18"/>
        <v>1006</v>
      </c>
      <c r="P21" s="26">
        <f t="shared" si="18"/>
        <v>112</v>
      </c>
      <c r="Q21" s="26">
        <f t="shared" si="18"/>
        <v>3583</v>
      </c>
      <c r="R21" s="18" t="s">
        <v>19</v>
      </c>
      <c r="S21" s="6">
        <f>S24+S27+S30+S33+S36+S39</f>
        <v>243.90000000000003</v>
      </c>
      <c r="T21" s="6">
        <f>T24+T27+T30+T33+T36+T39</f>
        <v>29470</v>
      </c>
      <c r="U21" s="9">
        <f>V21+W21+X21+Y21</f>
        <v>28103</v>
      </c>
      <c r="V21" s="6">
        <f t="shared" si="19"/>
        <v>8612</v>
      </c>
      <c r="W21" s="6">
        <f t="shared" si="19"/>
        <v>5736</v>
      </c>
      <c r="X21" s="6">
        <f t="shared" si="19"/>
        <v>1143</v>
      </c>
      <c r="Y21" s="6">
        <f t="shared" si="19"/>
        <v>12612</v>
      </c>
      <c r="AA21" s="18" t="s">
        <v>19</v>
      </c>
      <c r="AB21" s="27">
        <f>AB24+AB27+AB30+AB33+AB36+AB39</f>
        <v>108.19999999999999</v>
      </c>
      <c r="AC21" s="26">
        <f>AC24+AC27+AC30+AC33+AC36+AC39</f>
        <v>14930</v>
      </c>
      <c r="AD21" s="9">
        <f>AE21+AF21+AG21+AH21</f>
        <v>14501</v>
      </c>
      <c r="AE21" s="26">
        <f>AE24+AE27+AE30+AE33+AE36+AE39</f>
        <v>8365</v>
      </c>
      <c r="AF21" s="26">
        <f>AF24+AF27+AF30+AF33+AF36+AF39</f>
        <v>1932</v>
      </c>
      <c r="AG21" s="26">
        <f>AG24+AG27+AG30+AG33+AG36+AG39</f>
        <v>119</v>
      </c>
      <c r="AH21" s="26">
        <f>AH24+AH27+AH30+AH33+AH36+AH39</f>
        <v>4085</v>
      </c>
      <c r="AJ21" s="18" t="s">
        <v>19</v>
      </c>
      <c r="AK21" s="8">
        <f>AK24+AK27+AK30+AK36+AK39</f>
        <v>12.2</v>
      </c>
      <c r="AL21" s="9">
        <f>AL243+AL27+AL30+AL36+AL39</f>
        <v>1200</v>
      </c>
      <c r="AM21" s="9">
        <f>AN21+AO21+AP21+AQ21</f>
        <v>1151</v>
      </c>
      <c r="AN21" s="9">
        <f>AN243+AN27+AN30+AN36+AN39</f>
        <v>173</v>
      </c>
      <c r="AO21" s="9">
        <f>AO243+AO27+AO30+AO36+AO39</f>
        <v>28</v>
      </c>
      <c r="AP21" s="9">
        <f>AP243+AP27+AP30+AP36+AP39</f>
        <v>3</v>
      </c>
      <c r="AQ21" s="9">
        <f>AQ243+AQ27+AQ30+AQ36+AQ39</f>
        <v>947</v>
      </c>
    </row>
    <row r="22" spans="1:43">
      <c r="A22" s="248" t="s">
        <v>20</v>
      </c>
      <c r="B22" s="26">
        <f t="shared" ref="B22:H22" si="22">+B21/B20*100</f>
        <v>76.058931860036822</v>
      </c>
      <c r="C22" s="26">
        <f t="shared" si="22"/>
        <v>92.090869775369512</v>
      </c>
      <c r="D22" s="26">
        <f t="shared" si="22"/>
        <v>102.93696702248197</v>
      </c>
      <c r="E22" s="26">
        <f t="shared" si="22"/>
        <v>85.376540392514826</v>
      </c>
      <c r="F22" s="26">
        <f t="shared" si="22"/>
        <v>70.381536542260108</v>
      </c>
      <c r="G22" s="26">
        <f t="shared" si="22"/>
        <v>53.531914893617014</v>
      </c>
      <c r="H22" s="26">
        <f t="shared" si="22"/>
        <v>161.50367439231204</v>
      </c>
      <c r="J22" s="248" t="s">
        <v>20</v>
      </c>
      <c r="K22" s="26">
        <f t="shared" ref="K22:Q22" si="23">+K21/K20*100</f>
        <v>100.87260034904013</v>
      </c>
      <c r="L22" s="26">
        <f t="shared" si="23"/>
        <v>125.28318985047575</v>
      </c>
      <c r="M22" s="26">
        <f t="shared" si="23"/>
        <v>142.63670817541961</v>
      </c>
      <c r="N22" s="26">
        <f t="shared" si="23"/>
        <v>136.53846153846155</v>
      </c>
      <c r="O22" s="26">
        <f t="shared" si="23"/>
        <v>78.963893249607537</v>
      </c>
      <c r="P22" s="26">
        <f t="shared" si="23"/>
        <v>27.250608272506081</v>
      </c>
      <c r="Q22" s="26">
        <f t="shared" si="23"/>
        <v>224.92153170119275</v>
      </c>
      <c r="R22" s="248" t="s">
        <v>20</v>
      </c>
      <c r="S22" s="26">
        <f t="shared" ref="S22:Y22" si="24">+S21/S20*100</f>
        <v>66.6757791142701</v>
      </c>
      <c r="T22" s="26">
        <f t="shared" si="24"/>
        <v>85.843285755898634</v>
      </c>
      <c r="U22" s="26">
        <f t="shared" si="24"/>
        <v>95.656761632458554</v>
      </c>
      <c r="V22" s="26">
        <f t="shared" si="24"/>
        <v>82.720199788685051</v>
      </c>
      <c r="W22" s="26">
        <f t="shared" si="24"/>
        <v>69.527272727272731</v>
      </c>
      <c r="X22" s="26">
        <f t="shared" si="24"/>
        <v>59.438377535101402</v>
      </c>
      <c r="Y22" s="26">
        <f t="shared" si="24"/>
        <v>143.39965889710064</v>
      </c>
      <c r="AA22" s="248" t="s">
        <v>20</v>
      </c>
      <c r="AB22" s="26">
        <f t="shared" ref="AB22:AH22" si="25">+AB21/AB20*100</f>
        <v>84.796238244514086</v>
      </c>
      <c r="AC22" s="26">
        <f t="shared" si="25"/>
        <v>93.716653066348627</v>
      </c>
      <c r="AD22" s="26">
        <f t="shared" si="25"/>
        <v>100.84845955907922</v>
      </c>
      <c r="AE22" s="26">
        <f t="shared" si="25"/>
        <v>88.136128964281951</v>
      </c>
      <c r="AF22" s="26">
        <f t="shared" si="25"/>
        <v>77.156549520766774</v>
      </c>
      <c r="AG22" s="26">
        <f t="shared" si="25"/>
        <v>28.537170263788969</v>
      </c>
      <c r="AH22" s="26">
        <f t="shared" si="25"/>
        <v>207.67666497203865</v>
      </c>
      <c r="AJ22" s="248" t="s">
        <v>20</v>
      </c>
      <c r="AK22" s="26">
        <f t="shared" ref="AK22:AQ22" si="26">+AK21/AK20*100</f>
        <v>146.98795180722891</v>
      </c>
      <c r="AL22" s="26">
        <f t="shared" si="26"/>
        <v>212.38938053097348</v>
      </c>
      <c r="AM22" s="26">
        <f t="shared" si="26"/>
        <v>247.52688172043008</v>
      </c>
      <c r="AN22" s="26">
        <f t="shared" si="26"/>
        <v>135.15625</v>
      </c>
      <c r="AO22" s="26">
        <f t="shared" si="26"/>
        <v>29.473684210526311</v>
      </c>
      <c r="AP22" s="26">
        <f t="shared" si="26"/>
        <v>18.75</v>
      </c>
      <c r="AQ22" s="26">
        <f t="shared" si="26"/>
        <v>419.02654867256632</v>
      </c>
    </row>
    <row r="23" spans="1:43">
      <c r="A23" s="6" t="s">
        <v>21</v>
      </c>
      <c r="B23" s="6">
        <f t="shared" ref="B23:H24" si="27">+K23+S23+AK23</f>
        <v>0</v>
      </c>
      <c r="C23" s="6">
        <f t="shared" si="27"/>
        <v>0</v>
      </c>
      <c r="D23" s="6">
        <f t="shared" si="27"/>
        <v>0</v>
      </c>
      <c r="E23" s="6">
        <f t="shared" si="27"/>
        <v>0</v>
      </c>
      <c r="F23" s="6">
        <f t="shared" si="27"/>
        <v>0</v>
      </c>
      <c r="G23" s="6">
        <f t="shared" si="27"/>
        <v>0</v>
      </c>
      <c r="H23" s="6">
        <f t="shared" si="27"/>
        <v>0</v>
      </c>
      <c r="J23" s="6" t="s">
        <v>21</v>
      </c>
      <c r="K23" s="6">
        <v>0</v>
      </c>
      <c r="L23" s="6">
        <v>0</v>
      </c>
      <c r="M23" s="9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9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AA23" s="6" t="s">
        <v>21</v>
      </c>
      <c r="AB23" s="6">
        <v>0</v>
      </c>
      <c r="AC23" s="6">
        <v>0</v>
      </c>
      <c r="AD23" s="9">
        <f>AE23+AF23+AG23+AH23</f>
        <v>0</v>
      </c>
      <c r="AE23" s="6">
        <v>0</v>
      </c>
      <c r="AF23" s="6">
        <v>0</v>
      </c>
      <c r="AG23" s="6">
        <v>0</v>
      </c>
      <c r="AH23" s="6">
        <v>0</v>
      </c>
      <c r="AJ23" s="6" t="s">
        <v>21</v>
      </c>
      <c r="AK23" s="6">
        <v>0</v>
      </c>
      <c r="AL23" s="6">
        <v>0</v>
      </c>
      <c r="AM23" s="9">
        <f>AN23+AO23+AP23+AQ23</f>
        <v>0</v>
      </c>
      <c r="AN23" s="6">
        <v>0</v>
      </c>
      <c r="AO23" s="6">
        <v>0</v>
      </c>
      <c r="AP23" s="6">
        <v>0</v>
      </c>
      <c r="AQ23" s="6">
        <v>0</v>
      </c>
    </row>
    <row r="24" spans="1:43">
      <c r="A24" s="6" t="s">
        <v>22</v>
      </c>
      <c r="B24" s="6">
        <f t="shared" si="27"/>
        <v>0</v>
      </c>
      <c r="C24" s="6">
        <f t="shared" si="27"/>
        <v>0</v>
      </c>
      <c r="D24" s="6">
        <f t="shared" si="27"/>
        <v>0</v>
      </c>
      <c r="E24" s="6">
        <f t="shared" si="27"/>
        <v>0</v>
      </c>
      <c r="F24" s="6">
        <f t="shared" si="27"/>
        <v>0</v>
      </c>
      <c r="G24" s="6">
        <f t="shared" si="27"/>
        <v>0</v>
      </c>
      <c r="H24" s="6">
        <f t="shared" si="27"/>
        <v>0</v>
      </c>
      <c r="J24" s="6" t="s">
        <v>22</v>
      </c>
      <c r="K24" s="6">
        <v>0</v>
      </c>
      <c r="L24" s="6">
        <v>0</v>
      </c>
      <c r="M24" s="9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9">
        <f>V24+W24+X24+Y24</f>
        <v>0</v>
      </c>
      <c r="V24" s="6">
        <v>0</v>
      </c>
      <c r="W24" s="6">
        <v>0</v>
      </c>
      <c r="X24" s="6">
        <v>0</v>
      </c>
      <c r="Y24" s="6">
        <v>0</v>
      </c>
      <c r="AA24" s="6" t="s">
        <v>22</v>
      </c>
      <c r="AB24" s="6">
        <v>0</v>
      </c>
      <c r="AC24" s="6">
        <v>0</v>
      </c>
      <c r="AD24" s="9">
        <f>AE24+AF24+AG24+AH24</f>
        <v>0</v>
      </c>
      <c r="AE24" s="6">
        <v>0</v>
      </c>
      <c r="AF24" s="6">
        <v>0</v>
      </c>
      <c r="AG24" s="6">
        <v>0</v>
      </c>
      <c r="AH24" s="6">
        <v>0</v>
      </c>
      <c r="AJ24" s="6" t="s">
        <v>22</v>
      </c>
      <c r="AK24" s="6">
        <v>0</v>
      </c>
      <c r="AL24" s="6">
        <v>0</v>
      </c>
      <c r="AM24" s="9">
        <f>AN24+AO24+AP24+AQ24</f>
        <v>0</v>
      </c>
      <c r="AN24" s="6">
        <v>0</v>
      </c>
      <c r="AO24" s="6">
        <v>0</v>
      </c>
      <c r="AP24" s="6">
        <v>0</v>
      </c>
      <c r="AQ24" s="6">
        <v>0</v>
      </c>
    </row>
    <row r="25" spans="1:43">
      <c r="A25" s="6" t="s">
        <v>12</v>
      </c>
      <c r="B25" s="26" t="e">
        <f t="shared" ref="B25:H25" si="28">+B24/B23*100</f>
        <v>#DIV/0!</v>
      </c>
      <c r="C25" s="26" t="e">
        <f t="shared" si="28"/>
        <v>#DIV/0!</v>
      </c>
      <c r="D25" s="26" t="e">
        <f t="shared" si="28"/>
        <v>#DIV/0!</v>
      </c>
      <c r="E25" s="26" t="e">
        <f t="shared" si="28"/>
        <v>#DIV/0!</v>
      </c>
      <c r="F25" s="26" t="e">
        <f t="shared" si="28"/>
        <v>#DIV/0!</v>
      </c>
      <c r="G25" s="26" t="e">
        <f t="shared" si="28"/>
        <v>#DIV/0!</v>
      </c>
      <c r="H25" s="26" t="e">
        <f t="shared" si="28"/>
        <v>#DIV/0!</v>
      </c>
      <c r="J25" s="6" t="s">
        <v>12</v>
      </c>
      <c r="K25" s="26" t="e">
        <f t="shared" ref="K25:Q25" si="29">+K24/K23*100</f>
        <v>#DIV/0!</v>
      </c>
      <c r="L25" s="26" t="e">
        <f t="shared" si="29"/>
        <v>#DIV/0!</v>
      </c>
      <c r="M25" s="26" t="e">
        <f t="shared" si="29"/>
        <v>#DIV/0!</v>
      </c>
      <c r="N25" s="26" t="e">
        <f t="shared" si="29"/>
        <v>#DIV/0!</v>
      </c>
      <c r="O25" s="26" t="e">
        <f t="shared" si="29"/>
        <v>#DIV/0!</v>
      </c>
      <c r="P25" s="26" t="e">
        <f t="shared" si="29"/>
        <v>#DIV/0!</v>
      </c>
      <c r="Q25" s="26" t="e">
        <f t="shared" si="29"/>
        <v>#DIV/0!</v>
      </c>
      <c r="R25" s="6" t="s">
        <v>12</v>
      </c>
      <c r="S25" s="26" t="e">
        <f t="shared" ref="S25:Y25" si="30">+S24/S23*100</f>
        <v>#DIV/0!</v>
      </c>
      <c r="T25" s="26" t="e">
        <f t="shared" si="30"/>
        <v>#DIV/0!</v>
      </c>
      <c r="U25" s="26" t="e">
        <f t="shared" si="30"/>
        <v>#DIV/0!</v>
      </c>
      <c r="V25" s="26" t="e">
        <f t="shared" si="30"/>
        <v>#DIV/0!</v>
      </c>
      <c r="W25" s="26" t="e">
        <f t="shared" si="30"/>
        <v>#DIV/0!</v>
      </c>
      <c r="X25" s="26" t="e">
        <f t="shared" si="30"/>
        <v>#DIV/0!</v>
      </c>
      <c r="Y25" s="26" t="e">
        <f t="shared" si="30"/>
        <v>#DIV/0!</v>
      </c>
      <c r="AA25" s="6" t="s">
        <v>12</v>
      </c>
      <c r="AB25" s="26" t="e">
        <f t="shared" ref="AB25:AH25" si="31">+AB24/AB23*100</f>
        <v>#DIV/0!</v>
      </c>
      <c r="AC25" s="26" t="e">
        <f t="shared" si="31"/>
        <v>#DIV/0!</v>
      </c>
      <c r="AD25" s="26" t="e">
        <f t="shared" si="31"/>
        <v>#DIV/0!</v>
      </c>
      <c r="AE25" s="26" t="e">
        <f t="shared" si="31"/>
        <v>#DIV/0!</v>
      </c>
      <c r="AF25" s="26" t="e">
        <f t="shared" si="31"/>
        <v>#DIV/0!</v>
      </c>
      <c r="AG25" s="26" t="e">
        <f t="shared" si="31"/>
        <v>#DIV/0!</v>
      </c>
      <c r="AH25" s="26" t="e">
        <f t="shared" si="31"/>
        <v>#DIV/0!</v>
      </c>
      <c r="AJ25" s="6" t="s">
        <v>12</v>
      </c>
      <c r="AK25" s="26" t="e">
        <f t="shared" ref="AK25:AQ25" si="32">+AK24/AK23*100</f>
        <v>#DIV/0!</v>
      </c>
      <c r="AL25" s="26" t="e">
        <f t="shared" si="32"/>
        <v>#DIV/0!</v>
      </c>
      <c r="AM25" s="26" t="e">
        <f t="shared" si="32"/>
        <v>#DIV/0!</v>
      </c>
      <c r="AN25" s="26" t="e">
        <f t="shared" si="32"/>
        <v>#DIV/0!</v>
      </c>
      <c r="AO25" s="26" t="e">
        <f t="shared" si="32"/>
        <v>#DIV/0!</v>
      </c>
      <c r="AP25" s="26" t="e">
        <f t="shared" si="32"/>
        <v>#DIV/0!</v>
      </c>
      <c r="AQ25" s="26" t="e">
        <f t="shared" si="32"/>
        <v>#DIV/0!</v>
      </c>
    </row>
    <row r="26" spans="1:43">
      <c r="A26" s="6" t="s">
        <v>23</v>
      </c>
      <c r="B26" s="6">
        <f t="shared" ref="B26:H27" si="33">+K26+S26+AK26</f>
        <v>40.299999999999997</v>
      </c>
      <c r="C26" s="26">
        <f t="shared" si="33"/>
        <v>1420</v>
      </c>
      <c r="D26" s="26">
        <f t="shared" si="33"/>
        <v>1201</v>
      </c>
      <c r="E26" s="26">
        <f t="shared" si="33"/>
        <v>108</v>
      </c>
      <c r="F26" s="26">
        <f t="shared" si="33"/>
        <v>193</v>
      </c>
      <c r="G26" s="26">
        <f t="shared" si="33"/>
        <v>53</v>
      </c>
      <c r="H26" s="26">
        <f t="shared" si="33"/>
        <v>847</v>
      </c>
      <c r="J26" s="6" t="s">
        <v>23</v>
      </c>
      <c r="K26" s="27">
        <v>11.9</v>
      </c>
      <c r="L26" s="26">
        <v>487</v>
      </c>
      <c r="M26" s="9">
        <f>N26+O26+P26+Q26</f>
        <v>394</v>
      </c>
      <c r="N26" s="26">
        <v>70</v>
      </c>
      <c r="O26" s="26">
        <v>124</v>
      </c>
      <c r="P26" s="26">
        <v>40</v>
      </c>
      <c r="Q26" s="26">
        <v>160</v>
      </c>
      <c r="R26" s="6" t="s">
        <v>23</v>
      </c>
      <c r="S26" s="27">
        <v>28.4</v>
      </c>
      <c r="T26" s="26">
        <v>928</v>
      </c>
      <c r="U26" s="9">
        <f>V26+W26+X26+Y26</f>
        <v>803</v>
      </c>
      <c r="V26" s="26">
        <v>38</v>
      </c>
      <c r="W26" s="26">
        <v>69</v>
      </c>
      <c r="X26" s="26">
        <v>13</v>
      </c>
      <c r="Y26" s="26">
        <v>683</v>
      </c>
      <c r="AA26" s="6" t="s">
        <v>23</v>
      </c>
      <c r="AB26" s="27">
        <v>3.7</v>
      </c>
      <c r="AC26" s="6">
        <v>193</v>
      </c>
      <c r="AD26" s="9">
        <f>AE26+AF26+AG26+AH26</f>
        <v>165</v>
      </c>
      <c r="AE26" s="6">
        <v>28</v>
      </c>
      <c r="AF26" s="6">
        <v>32</v>
      </c>
      <c r="AG26" s="6">
        <v>4</v>
      </c>
      <c r="AH26" s="6">
        <v>101</v>
      </c>
      <c r="AJ26" s="6" t="s">
        <v>23</v>
      </c>
      <c r="AK26" s="6">
        <v>0</v>
      </c>
      <c r="AL26" s="26">
        <v>5</v>
      </c>
      <c r="AM26" s="9">
        <f>AN26+AO26+AP26+AQ26</f>
        <v>4</v>
      </c>
      <c r="AN26" s="26">
        <v>0</v>
      </c>
      <c r="AO26" s="26">
        <v>0</v>
      </c>
      <c r="AP26" s="26">
        <v>0</v>
      </c>
      <c r="AQ26" s="26">
        <v>4</v>
      </c>
    </row>
    <row r="27" spans="1:43">
      <c r="A27" s="6" t="s">
        <v>24</v>
      </c>
      <c r="B27" s="6">
        <f t="shared" si="33"/>
        <v>53.7</v>
      </c>
      <c r="C27" s="6">
        <f t="shared" si="33"/>
        <v>1760</v>
      </c>
      <c r="D27" s="6">
        <f t="shared" si="33"/>
        <v>1582</v>
      </c>
      <c r="E27" s="6">
        <f t="shared" si="33"/>
        <v>26</v>
      </c>
      <c r="F27" s="6">
        <f t="shared" si="33"/>
        <v>18</v>
      </c>
      <c r="G27" s="6">
        <f t="shared" si="33"/>
        <v>5</v>
      </c>
      <c r="H27" s="6">
        <f t="shared" si="33"/>
        <v>1533</v>
      </c>
      <c r="J27" s="6" t="s">
        <v>24</v>
      </c>
      <c r="K27" s="27">
        <v>5.0999999999999996</v>
      </c>
      <c r="L27" s="26">
        <v>240</v>
      </c>
      <c r="M27" s="9">
        <f>N27+O27+P27+Q27</f>
        <v>218</v>
      </c>
      <c r="N27" s="26">
        <v>0</v>
      </c>
      <c r="O27" s="26">
        <v>0</v>
      </c>
      <c r="P27" s="26">
        <v>0</v>
      </c>
      <c r="Q27" s="26">
        <v>218</v>
      </c>
      <c r="R27" s="6" t="s">
        <v>24</v>
      </c>
      <c r="S27" s="27">
        <v>48.6</v>
      </c>
      <c r="T27" s="26">
        <v>1520</v>
      </c>
      <c r="U27" s="9">
        <f>V27+W27+X27+Y27</f>
        <v>1364</v>
      </c>
      <c r="V27" s="26">
        <v>26</v>
      </c>
      <c r="W27" s="26">
        <v>18</v>
      </c>
      <c r="X27" s="26">
        <v>5</v>
      </c>
      <c r="Y27" s="26">
        <v>1315</v>
      </c>
      <c r="AA27" s="6" t="s">
        <v>24</v>
      </c>
      <c r="AB27" s="27">
        <v>9.4</v>
      </c>
      <c r="AC27" s="26">
        <v>290</v>
      </c>
      <c r="AD27" s="9">
        <f>AE27+AF27+AG27+AH27</f>
        <v>256</v>
      </c>
      <c r="AE27" s="26">
        <v>21</v>
      </c>
      <c r="AF27" s="26">
        <v>3</v>
      </c>
      <c r="AG27" s="26">
        <v>0</v>
      </c>
      <c r="AH27" s="26">
        <v>232</v>
      </c>
      <c r="AJ27" s="6" t="s">
        <v>24</v>
      </c>
      <c r="AK27" s="6">
        <v>0</v>
      </c>
      <c r="AL27" s="26">
        <v>0</v>
      </c>
      <c r="AM27" s="9">
        <v>0</v>
      </c>
      <c r="AN27" s="26">
        <v>0</v>
      </c>
      <c r="AO27" s="26">
        <v>0</v>
      </c>
      <c r="AP27" s="26">
        <v>0</v>
      </c>
      <c r="AQ27" s="26">
        <v>0</v>
      </c>
    </row>
    <row r="28" spans="1:43">
      <c r="A28" s="6" t="s">
        <v>12</v>
      </c>
      <c r="B28" s="26">
        <f t="shared" ref="B28:H28" si="34">+B27/B26*100</f>
        <v>133.25062034739457</v>
      </c>
      <c r="C28" s="26">
        <f t="shared" si="34"/>
        <v>123.94366197183098</v>
      </c>
      <c r="D28" s="26">
        <f t="shared" si="34"/>
        <v>131.72356369691926</v>
      </c>
      <c r="E28" s="26">
        <f t="shared" si="34"/>
        <v>24.074074074074073</v>
      </c>
      <c r="F28" s="26">
        <f t="shared" si="34"/>
        <v>9.3264248704663206</v>
      </c>
      <c r="G28" s="26">
        <f t="shared" si="34"/>
        <v>9.433962264150944</v>
      </c>
      <c r="H28" s="26">
        <f t="shared" si="34"/>
        <v>180.99173553719007</v>
      </c>
      <c r="J28" s="6" t="s">
        <v>12</v>
      </c>
      <c r="K28" s="26">
        <f t="shared" ref="K28:Q28" si="35">+K27/K26*100</f>
        <v>42.857142857142854</v>
      </c>
      <c r="L28" s="26">
        <f t="shared" si="35"/>
        <v>49.281314168377818</v>
      </c>
      <c r="M28" s="26">
        <f t="shared" si="35"/>
        <v>55.329949238578678</v>
      </c>
      <c r="N28" s="26">
        <f t="shared" si="35"/>
        <v>0</v>
      </c>
      <c r="O28" s="26">
        <f t="shared" si="35"/>
        <v>0</v>
      </c>
      <c r="P28" s="26">
        <f t="shared" si="35"/>
        <v>0</v>
      </c>
      <c r="Q28" s="26">
        <f t="shared" si="35"/>
        <v>136.25</v>
      </c>
      <c r="R28" s="6" t="s">
        <v>12</v>
      </c>
      <c r="S28" s="26">
        <f>+S27/S26*100</f>
        <v>171.12676056338029</v>
      </c>
      <c r="T28" s="26">
        <f t="shared" ref="T28:Y28" si="36">+T27/T26*100</f>
        <v>163.79310344827587</v>
      </c>
      <c r="U28" s="26">
        <f t="shared" si="36"/>
        <v>169.86301369863014</v>
      </c>
      <c r="V28" s="26">
        <f t="shared" si="36"/>
        <v>68.421052631578945</v>
      </c>
      <c r="W28" s="26">
        <f t="shared" si="36"/>
        <v>26.086956521739129</v>
      </c>
      <c r="X28" s="26">
        <f t="shared" si="36"/>
        <v>38.461538461538467</v>
      </c>
      <c r="Y28" s="26">
        <f t="shared" si="36"/>
        <v>192.53294289897511</v>
      </c>
      <c r="AA28" s="6" t="s">
        <v>12</v>
      </c>
      <c r="AB28" s="26">
        <f t="shared" ref="AB28:AH28" si="37">+AB27/AB26*100</f>
        <v>254.05405405405403</v>
      </c>
      <c r="AC28" s="26">
        <f t="shared" si="37"/>
        <v>150.25906735751295</v>
      </c>
      <c r="AD28" s="26">
        <f t="shared" si="37"/>
        <v>155.15151515151516</v>
      </c>
      <c r="AE28" s="26">
        <f t="shared" si="37"/>
        <v>75</v>
      </c>
      <c r="AF28" s="26">
        <f t="shared" si="37"/>
        <v>9.375</v>
      </c>
      <c r="AG28" s="26">
        <f t="shared" si="37"/>
        <v>0</v>
      </c>
      <c r="AH28" s="26">
        <f t="shared" si="37"/>
        <v>229.70297029702968</v>
      </c>
      <c r="AJ28" s="6" t="s">
        <v>12</v>
      </c>
      <c r="AK28" s="26" t="e">
        <f t="shared" ref="AK28:AQ28" si="38">+AK27/AK26*100</f>
        <v>#DIV/0!</v>
      </c>
      <c r="AL28" s="26">
        <f t="shared" si="38"/>
        <v>0</v>
      </c>
      <c r="AM28" s="26">
        <f t="shared" si="38"/>
        <v>0</v>
      </c>
      <c r="AN28" s="26" t="e">
        <f t="shared" si="38"/>
        <v>#DIV/0!</v>
      </c>
      <c r="AO28" s="26" t="e">
        <f t="shared" si="38"/>
        <v>#DIV/0!</v>
      </c>
      <c r="AP28" s="26" t="e">
        <f t="shared" si="38"/>
        <v>#DIV/0!</v>
      </c>
      <c r="AQ28" s="26">
        <f t="shared" si="38"/>
        <v>0</v>
      </c>
    </row>
    <row r="29" spans="1:43">
      <c r="A29" s="6" t="s">
        <v>25</v>
      </c>
      <c r="B29" s="6">
        <f t="shared" ref="B29:H30" si="39">+K29+S29+AK29</f>
        <v>54.8</v>
      </c>
      <c r="C29" s="26">
        <f t="shared" si="39"/>
        <v>1693</v>
      </c>
      <c r="D29" s="26">
        <f t="shared" si="39"/>
        <v>1414</v>
      </c>
      <c r="E29" s="26">
        <f t="shared" si="39"/>
        <v>198</v>
      </c>
      <c r="F29" s="26">
        <f t="shared" si="39"/>
        <v>558</v>
      </c>
      <c r="G29" s="26">
        <f t="shared" si="39"/>
        <v>46</v>
      </c>
      <c r="H29" s="26">
        <f t="shared" si="39"/>
        <v>612</v>
      </c>
      <c r="J29" s="6" t="s">
        <v>25</v>
      </c>
      <c r="K29" s="6">
        <v>21.8</v>
      </c>
      <c r="L29" s="26">
        <v>416</v>
      </c>
      <c r="M29" s="9">
        <f>N29+O29+P29+Q29</f>
        <v>338</v>
      </c>
      <c r="N29" s="26">
        <v>34</v>
      </c>
      <c r="O29" s="26">
        <v>125</v>
      </c>
      <c r="P29" s="26">
        <v>24</v>
      </c>
      <c r="Q29" s="26">
        <v>155</v>
      </c>
      <c r="R29" s="6" t="s">
        <v>25</v>
      </c>
      <c r="S29" s="6">
        <v>31.2</v>
      </c>
      <c r="T29" s="26">
        <v>1248</v>
      </c>
      <c r="U29" s="9">
        <f>V29+W29+X29+Y29</f>
        <v>1052</v>
      </c>
      <c r="V29" s="26">
        <v>156</v>
      </c>
      <c r="W29" s="26">
        <v>425</v>
      </c>
      <c r="X29" s="26">
        <v>22</v>
      </c>
      <c r="Y29" s="26">
        <v>449</v>
      </c>
      <c r="AA29" s="6" t="s">
        <v>25</v>
      </c>
      <c r="AB29" s="6">
        <v>4.3</v>
      </c>
      <c r="AC29" s="6">
        <v>224</v>
      </c>
      <c r="AD29" s="9">
        <f>AE29+AF29+AG29+AH29</f>
        <v>189</v>
      </c>
      <c r="AE29" s="6">
        <v>59</v>
      </c>
      <c r="AF29" s="6">
        <v>61</v>
      </c>
      <c r="AG29" s="6">
        <v>3</v>
      </c>
      <c r="AH29" s="6">
        <v>66</v>
      </c>
      <c r="AJ29" s="6" t="s">
        <v>25</v>
      </c>
      <c r="AK29" s="6">
        <v>1.8</v>
      </c>
      <c r="AL29" s="26">
        <v>29</v>
      </c>
      <c r="AM29" s="9">
        <f>AN29+AO29+AP29+AQ29</f>
        <v>24</v>
      </c>
      <c r="AN29" s="26">
        <v>8</v>
      </c>
      <c r="AO29" s="26">
        <v>8</v>
      </c>
      <c r="AP29" s="26">
        <v>0</v>
      </c>
      <c r="AQ29" s="26">
        <v>8</v>
      </c>
    </row>
    <row r="30" spans="1:43">
      <c r="A30" s="6" t="s">
        <v>26</v>
      </c>
      <c r="B30" s="27">
        <f t="shared" si="39"/>
        <v>12.3</v>
      </c>
      <c r="C30" s="6">
        <f t="shared" si="39"/>
        <v>590</v>
      </c>
      <c r="D30" s="6">
        <f t="shared" si="39"/>
        <v>557</v>
      </c>
      <c r="E30" s="6">
        <f t="shared" si="39"/>
        <v>94</v>
      </c>
      <c r="F30" s="6">
        <f t="shared" si="39"/>
        <v>19</v>
      </c>
      <c r="G30" s="6">
        <f t="shared" si="39"/>
        <v>1</v>
      </c>
      <c r="H30" s="6">
        <f t="shared" si="39"/>
        <v>443</v>
      </c>
      <c r="J30" s="6" t="s">
        <v>26</v>
      </c>
      <c r="K30" s="27">
        <v>1</v>
      </c>
      <c r="L30" s="26">
        <v>90</v>
      </c>
      <c r="M30" s="9">
        <f>N30+O30+P30+Q30</f>
        <v>84</v>
      </c>
      <c r="N30" s="26">
        <v>2</v>
      </c>
      <c r="O30" s="26">
        <v>0</v>
      </c>
      <c r="P30" s="26">
        <v>0</v>
      </c>
      <c r="Q30" s="26">
        <v>82</v>
      </c>
      <c r="R30" s="6" t="s">
        <v>26</v>
      </c>
      <c r="S30" s="27">
        <v>11.3</v>
      </c>
      <c r="T30" s="26">
        <v>410</v>
      </c>
      <c r="U30" s="9">
        <f>V30+W30+X30+Y30</f>
        <v>386</v>
      </c>
      <c r="V30" s="26">
        <v>42</v>
      </c>
      <c r="W30" s="26">
        <v>12</v>
      </c>
      <c r="X30" s="26">
        <v>1</v>
      </c>
      <c r="Y30" s="26">
        <v>331</v>
      </c>
      <c r="AA30" s="6" t="s">
        <v>26</v>
      </c>
      <c r="AB30" s="27">
        <v>7.6</v>
      </c>
      <c r="AC30" s="6">
        <v>280</v>
      </c>
      <c r="AD30" s="9">
        <f>AE30+AF30+AG30+AH30</f>
        <v>258</v>
      </c>
      <c r="AE30" s="6">
        <v>22</v>
      </c>
      <c r="AF30" s="6">
        <v>1</v>
      </c>
      <c r="AG30" s="6">
        <v>0</v>
      </c>
      <c r="AH30" s="6">
        <v>235</v>
      </c>
      <c r="AJ30" s="6" t="s">
        <v>26</v>
      </c>
      <c r="AK30" s="6">
        <v>0</v>
      </c>
      <c r="AL30" s="26">
        <v>90</v>
      </c>
      <c r="AM30" s="9">
        <f>AN30+AO30+AP30+AQ30</f>
        <v>87</v>
      </c>
      <c r="AN30" s="26">
        <v>50</v>
      </c>
      <c r="AO30" s="26">
        <v>7</v>
      </c>
      <c r="AP30" s="26">
        <v>0</v>
      </c>
      <c r="AQ30" s="26">
        <v>30</v>
      </c>
    </row>
    <row r="31" spans="1:43">
      <c r="A31" s="6" t="s">
        <v>12</v>
      </c>
      <c r="B31" s="26">
        <f t="shared" ref="B31:H31" si="40">+B30/B29*100</f>
        <v>22.445255474452559</v>
      </c>
      <c r="C31" s="26">
        <f t="shared" si="40"/>
        <v>34.849379799173064</v>
      </c>
      <c r="D31" s="26">
        <f t="shared" si="40"/>
        <v>39.391796322489391</v>
      </c>
      <c r="E31" s="26">
        <f t="shared" si="40"/>
        <v>47.474747474747474</v>
      </c>
      <c r="F31" s="26">
        <f t="shared" si="40"/>
        <v>3.4050179211469538</v>
      </c>
      <c r="G31" s="26">
        <f t="shared" si="40"/>
        <v>2.1739130434782608</v>
      </c>
      <c r="H31" s="26">
        <f t="shared" si="40"/>
        <v>72.385620915032675</v>
      </c>
      <c r="J31" s="6" t="s">
        <v>12</v>
      </c>
      <c r="K31" s="26">
        <f t="shared" ref="K31:Q31" si="41">+K30/K29*100</f>
        <v>4.5871559633027514</v>
      </c>
      <c r="L31" s="26">
        <f t="shared" si="41"/>
        <v>21.634615384615387</v>
      </c>
      <c r="M31" s="26">
        <f t="shared" si="41"/>
        <v>24.852071005917161</v>
      </c>
      <c r="N31" s="26">
        <f t="shared" si="41"/>
        <v>5.8823529411764701</v>
      </c>
      <c r="O31" s="26">
        <f t="shared" si="41"/>
        <v>0</v>
      </c>
      <c r="P31" s="26">
        <f t="shared" si="41"/>
        <v>0</v>
      </c>
      <c r="Q31" s="26">
        <f t="shared" si="41"/>
        <v>52.903225806451616</v>
      </c>
      <c r="R31" s="6" t="s">
        <v>12</v>
      </c>
      <c r="S31" s="26">
        <f t="shared" ref="S31:Y31" si="42">+S30/S29*100</f>
        <v>36.217948717948723</v>
      </c>
      <c r="T31" s="26">
        <f t="shared" si="42"/>
        <v>32.852564102564102</v>
      </c>
      <c r="U31" s="26">
        <f t="shared" si="42"/>
        <v>36.692015209125472</v>
      </c>
      <c r="V31" s="26">
        <f t="shared" si="42"/>
        <v>26.923076923076923</v>
      </c>
      <c r="W31" s="26">
        <f t="shared" si="42"/>
        <v>2.8235294117647061</v>
      </c>
      <c r="X31" s="26">
        <f t="shared" si="42"/>
        <v>4.5454545454545459</v>
      </c>
      <c r="Y31" s="26">
        <f t="shared" si="42"/>
        <v>73.719376391982181</v>
      </c>
      <c r="AA31" s="6" t="s">
        <v>12</v>
      </c>
      <c r="AB31" s="26">
        <f t="shared" ref="AB31:AH31" si="43">+AB30/AB29*100</f>
        <v>176.74418604651163</v>
      </c>
      <c r="AC31" s="26">
        <f t="shared" si="43"/>
        <v>125</v>
      </c>
      <c r="AD31" s="26">
        <f t="shared" si="43"/>
        <v>136.50793650793651</v>
      </c>
      <c r="AE31" s="26">
        <f t="shared" si="43"/>
        <v>37.288135593220339</v>
      </c>
      <c r="AF31" s="26">
        <f t="shared" si="43"/>
        <v>1.639344262295082</v>
      </c>
      <c r="AG31" s="26">
        <f t="shared" si="43"/>
        <v>0</v>
      </c>
      <c r="AH31" s="26">
        <f t="shared" si="43"/>
        <v>356.06060606060606</v>
      </c>
      <c r="AJ31" s="6" t="s">
        <v>12</v>
      </c>
      <c r="AK31" s="26">
        <f t="shared" ref="AK31:AQ31" si="44">+AK30/AK29*100</f>
        <v>0</v>
      </c>
      <c r="AL31" s="26">
        <f t="shared" si="44"/>
        <v>310.34482758620692</v>
      </c>
      <c r="AM31" s="26">
        <f t="shared" si="44"/>
        <v>362.5</v>
      </c>
      <c r="AN31" s="26">
        <f t="shared" si="44"/>
        <v>625</v>
      </c>
      <c r="AO31" s="26">
        <f t="shared" si="44"/>
        <v>87.5</v>
      </c>
      <c r="AP31" s="26" t="e">
        <f t="shared" si="44"/>
        <v>#DIV/0!</v>
      </c>
      <c r="AQ31" s="26">
        <f t="shared" si="44"/>
        <v>375</v>
      </c>
    </row>
    <row r="32" spans="1:43">
      <c r="A32" s="6" t="s">
        <v>27</v>
      </c>
      <c r="B32" s="27">
        <f t="shared" ref="B32:H33" si="45">+K32+S32+AK32</f>
        <v>37.6</v>
      </c>
      <c r="C32" s="26">
        <f t="shared" si="45"/>
        <v>11068</v>
      </c>
      <c r="D32" s="26">
        <f t="shared" si="45"/>
        <v>10186</v>
      </c>
      <c r="E32" s="26">
        <f t="shared" si="45"/>
        <v>7718</v>
      </c>
      <c r="F32" s="26">
        <f t="shared" si="45"/>
        <v>1669</v>
      </c>
      <c r="G32" s="26">
        <f t="shared" si="45"/>
        <v>332</v>
      </c>
      <c r="H32" s="26">
        <f t="shared" si="45"/>
        <v>467</v>
      </c>
      <c r="J32" s="6" t="s">
        <v>27</v>
      </c>
      <c r="K32" s="6">
        <v>0</v>
      </c>
      <c r="L32" s="26">
        <v>0</v>
      </c>
      <c r="M32" s="9">
        <f>N32+O32+P32+Q32</f>
        <v>0</v>
      </c>
      <c r="N32" s="26">
        <v>0</v>
      </c>
      <c r="O32" s="26">
        <v>0</v>
      </c>
      <c r="P32" s="26">
        <v>0</v>
      </c>
      <c r="Q32" s="26">
        <v>0</v>
      </c>
      <c r="R32" s="6" t="s">
        <v>27</v>
      </c>
      <c r="S32" s="27">
        <v>36.700000000000003</v>
      </c>
      <c r="T32" s="26">
        <v>10925</v>
      </c>
      <c r="U32" s="9">
        <f>V32+W32+X32+Y32</f>
        <v>10054</v>
      </c>
      <c r="V32" s="26">
        <v>7649</v>
      </c>
      <c r="W32" s="26">
        <v>1641</v>
      </c>
      <c r="X32" s="26">
        <v>325</v>
      </c>
      <c r="Y32" s="26">
        <v>439</v>
      </c>
      <c r="AA32" s="6" t="s">
        <v>27</v>
      </c>
      <c r="AB32" s="27">
        <v>36.700000000000003</v>
      </c>
      <c r="AC32" s="26">
        <v>10925</v>
      </c>
      <c r="AD32" s="9">
        <f>AE32+AF32+AG32+AH32</f>
        <v>10054</v>
      </c>
      <c r="AE32" s="26">
        <v>7649</v>
      </c>
      <c r="AF32" s="26">
        <v>1641</v>
      </c>
      <c r="AG32" s="26">
        <v>325</v>
      </c>
      <c r="AH32" s="26">
        <v>439</v>
      </c>
      <c r="AJ32" s="6" t="s">
        <v>27</v>
      </c>
      <c r="AK32" s="6">
        <v>0.9</v>
      </c>
      <c r="AL32" s="26">
        <v>143</v>
      </c>
      <c r="AM32" s="9">
        <f>AN32+AO32+AP32+AQ32</f>
        <v>132</v>
      </c>
      <c r="AN32" s="26">
        <v>69</v>
      </c>
      <c r="AO32" s="26">
        <v>28</v>
      </c>
      <c r="AP32" s="26">
        <v>7</v>
      </c>
      <c r="AQ32" s="26">
        <v>28</v>
      </c>
    </row>
    <row r="33" spans="1:43">
      <c r="A33" s="6" t="s">
        <v>28</v>
      </c>
      <c r="B33" s="27">
        <f t="shared" si="45"/>
        <v>41.4</v>
      </c>
      <c r="C33" s="6">
        <f t="shared" si="45"/>
        <v>10750</v>
      </c>
      <c r="D33" s="6">
        <f t="shared" si="45"/>
        <v>10614</v>
      </c>
      <c r="E33" s="6">
        <f t="shared" si="45"/>
        <v>7440</v>
      </c>
      <c r="F33" s="6">
        <f t="shared" si="45"/>
        <v>1721</v>
      </c>
      <c r="G33" s="6">
        <f t="shared" si="45"/>
        <v>98</v>
      </c>
      <c r="H33" s="6">
        <f t="shared" si="45"/>
        <v>1355</v>
      </c>
      <c r="J33" s="6" t="s">
        <v>28</v>
      </c>
      <c r="K33" s="6">
        <v>0</v>
      </c>
      <c r="L33" s="26">
        <v>0</v>
      </c>
      <c r="M33" s="9">
        <f>N33+O33+P33+Q33</f>
        <v>0</v>
      </c>
      <c r="N33" s="26">
        <v>0</v>
      </c>
      <c r="O33" s="26">
        <v>0</v>
      </c>
      <c r="P33" s="26">
        <v>0</v>
      </c>
      <c r="Q33" s="26">
        <v>0</v>
      </c>
      <c r="R33" s="6" t="s">
        <v>28</v>
      </c>
      <c r="S33" s="27">
        <v>41.4</v>
      </c>
      <c r="T33" s="26">
        <v>10750</v>
      </c>
      <c r="U33" s="9">
        <f>V33+W33+X33+Y33</f>
        <v>10614</v>
      </c>
      <c r="V33" s="26">
        <v>7440</v>
      </c>
      <c r="W33" s="26">
        <v>1721</v>
      </c>
      <c r="X33" s="26">
        <v>98</v>
      </c>
      <c r="Y33" s="26">
        <v>1355</v>
      </c>
      <c r="AA33" s="6" t="s">
        <v>28</v>
      </c>
      <c r="AB33" s="27">
        <v>41.4</v>
      </c>
      <c r="AC33" s="26">
        <v>10750</v>
      </c>
      <c r="AD33" s="9">
        <f>AE33+AF33+AG33+AH33</f>
        <v>10614</v>
      </c>
      <c r="AE33" s="26">
        <v>7440</v>
      </c>
      <c r="AF33" s="26">
        <v>1721</v>
      </c>
      <c r="AG33" s="26">
        <v>98</v>
      </c>
      <c r="AH33" s="26">
        <v>1355</v>
      </c>
      <c r="AJ33" s="6" t="s">
        <v>28</v>
      </c>
      <c r="AK33" s="6"/>
      <c r="AL33" s="26"/>
      <c r="AM33" s="9"/>
      <c r="AN33" s="26"/>
      <c r="AO33" s="26"/>
      <c r="AP33" s="26"/>
      <c r="AQ33" s="26"/>
    </row>
    <row r="34" spans="1:43">
      <c r="A34" s="6" t="s">
        <v>12</v>
      </c>
      <c r="B34" s="26">
        <f t="shared" ref="B34:H34" si="46">+B33/B32*100</f>
        <v>110.10638297872339</v>
      </c>
      <c r="C34" s="26">
        <f t="shared" si="46"/>
        <v>97.126852186483561</v>
      </c>
      <c r="D34" s="26">
        <f t="shared" si="46"/>
        <v>104.20184567052817</v>
      </c>
      <c r="E34" s="26">
        <f t="shared" si="46"/>
        <v>96.398030577869918</v>
      </c>
      <c r="F34" s="26">
        <f t="shared" si="46"/>
        <v>103.11563810665069</v>
      </c>
      <c r="G34" s="26">
        <f t="shared" si="46"/>
        <v>29.518072289156628</v>
      </c>
      <c r="H34" s="26">
        <f t="shared" si="46"/>
        <v>290.14989293361884</v>
      </c>
      <c r="J34" s="6" t="s">
        <v>12</v>
      </c>
      <c r="K34" s="26" t="e">
        <f t="shared" ref="K34:Q34" si="47">+K33/K32*100</f>
        <v>#DIV/0!</v>
      </c>
      <c r="L34" s="26" t="e">
        <f t="shared" si="47"/>
        <v>#DIV/0!</v>
      </c>
      <c r="M34" s="26" t="e">
        <f t="shared" si="47"/>
        <v>#DIV/0!</v>
      </c>
      <c r="N34" s="26" t="e">
        <f t="shared" si="47"/>
        <v>#DIV/0!</v>
      </c>
      <c r="O34" s="26" t="e">
        <f t="shared" si="47"/>
        <v>#DIV/0!</v>
      </c>
      <c r="P34" s="26" t="e">
        <f t="shared" si="47"/>
        <v>#DIV/0!</v>
      </c>
      <c r="Q34" s="26" t="e">
        <f t="shared" si="47"/>
        <v>#DIV/0!</v>
      </c>
      <c r="R34" s="6" t="s">
        <v>12</v>
      </c>
      <c r="S34" s="26">
        <f t="shared" ref="S34:Y34" si="48">+S33/S32*100</f>
        <v>112.80653950953676</v>
      </c>
      <c r="T34" s="26">
        <f t="shared" si="48"/>
        <v>98.398169336384441</v>
      </c>
      <c r="U34" s="26">
        <f t="shared" si="48"/>
        <v>105.56992241893775</v>
      </c>
      <c r="V34" s="26">
        <f t="shared" si="48"/>
        <v>97.267616681919193</v>
      </c>
      <c r="W34" s="26">
        <f t="shared" si="48"/>
        <v>104.8750761730652</v>
      </c>
      <c r="X34" s="26">
        <f t="shared" si="48"/>
        <v>30.153846153846153</v>
      </c>
      <c r="Y34" s="26">
        <f t="shared" si="48"/>
        <v>308.65603644646927</v>
      </c>
      <c r="AA34" s="6" t="s">
        <v>12</v>
      </c>
      <c r="AB34" s="26">
        <f t="shared" ref="AB34:AH34" si="49">+AB33/AB32*100</f>
        <v>112.80653950953676</v>
      </c>
      <c r="AC34" s="26">
        <f t="shared" si="49"/>
        <v>98.398169336384441</v>
      </c>
      <c r="AD34" s="26">
        <f t="shared" si="49"/>
        <v>105.56992241893775</v>
      </c>
      <c r="AE34" s="26">
        <f t="shared" si="49"/>
        <v>97.267616681919193</v>
      </c>
      <c r="AF34" s="26">
        <f t="shared" si="49"/>
        <v>104.8750761730652</v>
      </c>
      <c r="AG34" s="26">
        <f t="shared" si="49"/>
        <v>30.153846153846153</v>
      </c>
      <c r="AH34" s="26">
        <f t="shared" si="49"/>
        <v>308.65603644646927</v>
      </c>
      <c r="AJ34" s="6" t="s">
        <v>12</v>
      </c>
      <c r="AK34" s="26">
        <f t="shared" ref="AK34:AQ34" si="50">+AK33/AK32*100</f>
        <v>0</v>
      </c>
      <c r="AL34" s="26">
        <f t="shared" si="50"/>
        <v>0</v>
      </c>
      <c r="AM34" s="26">
        <f t="shared" si="50"/>
        <v>0</v>
      </c>
      <c r="AN34" s="26">
        <f t="shared" si="50"/>
        <v>0</v>
      </c>
      <c r="AO34" s="26">
        <f t="shared" si="50"/>
        <v>0</v>
      </c>
      <c r="AP34" s="26">
        <f t="shared" si="50"/>
        <v>0</v>
      </c>
      <c r="AQ34" s="26">
        <f t="shared" si="50"/>
        <v>0</v>
      </c>
    </row>
    <row r="35" spans="1:43">
      <c r="A35" s="6" t="s">
        <v>29</v>
      </c>
      <c r="B35" s="6">
        <f t="shared" ref="B35:H36" si="51">+K35+S35+AK35</f>
        <v>131.80000000000001</v>
      </c>
      <c r="C35" s="26">
        <f t="shared" si="51"/>
        <v>15083</v>
      </c>
      <c r="D35" s="26">
        <f t="shared" si="51"/>
        <v>12215</v>
      </c>
      <c r="E35" s="26">
        <f t="shared" si="51"/>
        <v>596</v>
      </c>
      <c r="F35" s="26">
        <f t="shared" si="51"/>
        <v>4980</v>
      </c>
      <c r="G35" s="26">
        <f t="shared" si="51"/>
        <v>1361</v>
      </c>
      <c r="H35" s="26">
        <f t="shared" si="51"/>
        <v>5278</v>
      </c>
      <c r="J35" s="6" t="s">
        <v>29</v>
      </c>
      <c r="K35" s="6">
        <v>0.4</v>
      </c>
      <c r="L35" s="26">
        <v>31</v>
      </c>
      <c r="M35" s="9">
        <f>Q35+P35+O35+N35</f>
        <v>27</v>
      </c>
      <c r="N35" s="26">
        <v>1</v>
      </c>
      <c r="O35" s="26">
        <v>11</v>
      </c>
      <c r="P35" s="26">
        <v>3</v>
      </c>
      <c r="Q35" s="26">
        <v>12</v>
      </c>
      <c r="R35" s="6" t="s">
        <v>29</v>
      </c>
      <c r="S35" s="27">
        <v>130.4</v>
      </c>
      <c r="T35" s="26">
        <v>14981</v>
      </c>
      <c r="U35" s="9">
        <f>V35+W35+X35+Y35</f>
        <v>12129</v>
      </c>
      <c r="V35" s="26">
        <v>593</v>
      </c>
      <c r="W35" s="26">
        <v>4946</v>
      </c>
      <c r="X35" s="26">
        <v>1351</v>
      </c>
      <c r="Y35" s="26">
        <v>5239</v>
      </c>
      <c r="AA35" s="6" t="s">
        <v>29</v>
      </c>
      <c r="AB35" s="6">
        <v>0</v>
      </c>
      <c r="AC35" s="6">
        <v>0</v>
      </c>
      <c r="AD35" s="9">
        <f>AE35+AF35+AG35+AH35</f>
        <v>0</v>
      </c>
      <c r="AE35" s="6">
        <v>0</v>
      </c>
      <c r="AF35" s="6">
        <v>0</v>
      </c>
      <c r="AG35" s="6">
        <v>0</v>
      </c>
      <c r="AH35" s="6">
        <v>0</v>
      </c>
      <c r="AJ35" s="6" t="s">
        <v>29</v>
      </c>
      <c r="AK35" s="6">
        <v>1</v>
      </c>
      <c r="AL35" s="26">
        <v>71</v>
      </c>
      <c r="AM35" s="9">
        <f>AN35+AO35+AP35+AQ35</f>
        <v>59</v>
      </c>
      <c r="AN35" s="26">
        <v>2</v>
      </c>
      <c r="AO35" s="26">
        <v>23</v>
      </c>
      <c r="AP35" s="26">
        <v>7</v>
      </c>
      <c r="AQ35" s="26">
        <v>27</v>
      </c>
    </row>
    <row r="36" spans="1:43">
      <c r="A36" s="6" t="s">
        <v>30</v>
      </c>
      <c r="B36" s="27">
        <f t="shared" si="51"/>
        <v>85.8</v>
      </c>
      <c r="C36" s="6">
        <f t="shared" si="51"/>
        <v>12730</v>
      </c>
      <c r="D36" s="6">
        <f t="shared" si="51"/>
        <v>11963</v>
      </c>
      <c r="E36" s="6">
        <f t="shared" si="51"/>
        <v>219</v>
      </c>
      <c r="F36" s="6">
        <f t="shared" si="51"/>
        <v>3778</v>
      </c>
      <c r="G36" s="6">
        <f t="shared" si="51"/>
        <v>1018</v>
      </c>
      <c r="H36" s="6">
        <f t="shared" si="51"/>
        <v>6948</v>
      </c>
      <c r="J36" s="6" t="s">
        <v>30</v>
      </c>
      <c r="K36" s="6">
        <v>0</v>
      </c>
      <c r="L36" s="26">
        <v>10</v>
      </c>
      <c r="M36" s="9">
        <f>N36+O36+P36+Q36</f>
        <v>3</v>
      </c>
      <c r="N36" s="26">
        <v>0</v>
      </c>
      <c r="O36" s="26">
        <v>0</v>
      </c>
      <c r="P36" s="26">
        <v>0</v>
      </c>
      <c r="Q36" s="26">
        <v>3</v>
      </c>
      <c r="R36" s="6" t="s">
        <v>30</v>
      </c>
      <c r="S36" s="27">
        <v>85.8</v>
      </c>
      <c r="T36" s="26">
        <v>12720</v>
      </c>
      <c r="U36" s="9">
        <f>V36+W36+X36+Y36</f>
        <v>11960</v>
      </c>
      <c r="V36" s="26">
        <v>219</v>
      </c>
      <c r="W36" s="26">
        <v>3778</v>
      </c>
      <c r="X36" s="26">
        <v>1018</v>
      </c>
      <c r="Y36" s="26">
        <v>6945</v>
      </c>
      <c r="AA36" s="6" t="s">
        <v>30</v>
      </c>
      <c r="AB36" s="6">
        <v>0</v>
      </c>
      <c r="AC36" s="6">
        <v>0</v>
      </c>
      <c r="AD36" s="9">
        <f>AE36+AF36+AG36+AH36</f>
        <v>0</v>
      </c>
      <c r="AE36" s="6">
        <v>0</v>
      </c>
      <c r="AF36" s="6">
        <v>0</v>
      </c>
      <c r="AG36" s="6">
        <v>0</v>
      </c>
      <c r="AH36" s="6">
        <v>0</v>
      </c>
      <c r="AJ36" s="6" t="s">
        <v>30</v>
      </c>
      <c r="AK36" s="6">
        <v>0</v>
      </c>
      <c r="AL36" s="26">
        <v>0</v>
      </c>
      <c r="AM36" s="9">
        <f>AN36+AO36+AP36+AQ36</f>
        <v>0</v>
      </c>
      <c r="AN36" s="26">
        <v>0</v>
      </c>
      <c r="AO36" s="26">
        <v>0</v>
      </c>
      <c r="AP36" s="26">
        <v>0</v>
      </c>
      <c r="AQ36" s="26">
        <v>0</v>
      </c>
    </row>
    <row r="37" spans="1:43">
      <c r="A37" s="6" t="s">
        <v>12</v>
      </c>
      <c r="B37" s="26">
        <f t="shared" ref="B37:H37" si="52">+B36/B35*100</f>
        <v>65.09863429438542</v>
      </c>
      <c r="C37" s="26">
        <f t="shared" si="52"/>
        <v>84.399655240999806</v>
      </c>
      <c r="D37" s="26">
        <f t="shared" si="52"/>
        <v>97.936962750716333</v>
      </c>
      <c r="E37" s="26">
        <f t="shared" si="52"/>
        <v>36.744966442953022</v>
      </c>
      <c r="F37" s="26">
        <f t="shared" si="52"/>
        <v>75.863453815261039</v>
      </c>
      <c r="G37" s="26">
        <f t="shared" si="52"/>
        <v>74.797942689199118</v>
      </c>
      <c r="H37" s="26">
        <f t="shared" si="52"/>
        <v>131.64077302008337</v>
      </c>
      <c r="J37" s="6" t="s">
        <v>12</v>
      </c>
      <c r="K37" s="26">
        <f t="shared" ref="K37:Q37" si="53">+K36/K35*100</f>
        <v>0</v>
      </c>
      <c r="L37" s="26">
        <f t="shared" si="53"/>
        <v>32.258064516129032</v>
      </c>
      <c r="M37" s="26">
        <f t="shared" si="53"/>
        <v>11.111111111111111</v>
      </c>
      <c r="N37" s="26">
        <f t="shared" si="53"/>
        <v>0</v>
      </c>
      <c r="O37" s="26">
        <f t="shared" si="53"/>
        <v>0</v>
      </c>
      <c r="P37" s="26">
        <f t="shared" si="53"/>
        <v>0</v>
      </c>
      <c r="Q37" s="26">
        <f t="shared" si="53"/>
        <v>25</v>
      </c>
      <c r="R37" s="6" t="s">
        <v>12</v>
      </c>
      <c r="S37" s="26">
        <f t="shared" ref="S37:Y37" si="54">+S36/S35*100</f>
        <v>65.797546012269933</v>
      </c>
      <c r="T37" s="26">
        <f t="shared" si="54"/>
        <v>84.907549562779522</v>
      </c>
      <c r="U37" s="26">
        <f t="shared" si="54"/>
        <v>98.60664523043944</v>
      </c>
      <c r="V37" s="26">
        <f t="shared" si="54"/>
        <v>36.930860033726816</v>
      </c>
      <c r="W37" s="26">
        <f t="shared" si="54"/>
        <v>76.384957541447633</v>
      </c>
      <c r="X37" s="26">
        <f t="shared" si="54"/>
        <v>75.351591413767579</v>
      </c>
      <c r="Y37" s="26">
        <f t="shared" si="54"/>
        <v>132.56346631036456</v>
      </c>
      <c r="AA37" s="6" t="s">
        <v>12</v>
      </c>
      <c r="AB37" s="26" t="e">
        <f t="shared" ref="AB37:AH37" si="55">+AB36/AB35*100</f>
        <v>#DIV/0!</v>
      </c>
      <c r="AC37" s="26" t="e">
        <f t="shared" si="55"/>
        <v>#DIV/0!</v>
      </c>
      <c r="AD37" s="26" t="e">
        <f t="shared" si="55"/>
        <v>#DIV/0!</v>
      </c>
      <c r="AE37" s="26" t="e">
        <f t="shared" si="55"/>
        <v>#DIV/0!</v>
      </c>
      <c r="AF37" s="26" t="e">
        <f t="shared" si="55"/>
        <v>#DIV/0!</v>
      </c>
      <c r="AG37" s="26" t="e">
        <f t="shared" si="55"/>
        <v>#DIV/0!</v>
      </c>
      <c r="AH37" s="26" t="e">
        <f t="shared" si="55"/>
        <v>#DIV/0!</v>
      </c>
      <c r="AJ37" s="6" t="s">
        <v>12</v>
      </c>
      <c r="AK37" s="26">
        <f>+AK36/AK35*100</f>
        <v>0</v>
      </c>
      <c r="AL37" s="26">
        <f t="shared" ref="AL37:AQ37" si="56">+AL36/AL35*100</f>
        <v>0</v>
      </c>
      <c r="AM37" s="26">
        <f t="shared" si="56"/>
        <v>0</v>
      </c>
      <c r="AN37" s="26">
        <f t="shared" si="56"/>
        <v>0</v>
      </c>
      <c r="AO37" s="26">
        <f t="shared" si="56"/>
        <v>0</v>
      </c>
      <c r="AP37" s="26">
        <f t="shared" si="56"/>
        <v>0</v>
      </c>
      <c r="AQ37" s="26">
        <f t="shared" si="56"/>
        <v>0</v>
      </c>
    </row>
    <row r="38" spans="1:43">
      <c r="A38" s="6" t="s">
        <v>31</v>
      </c>
      <c r="B38" s="6">
        <f t="shared" ref="B38:H39" si="57">+K38+S38+AK38</f>
        <v>224.2</v>
      </c>
      <c r="C38" s="26">
        <f t="shared" si="57"/>
        <v>10045</v>
      </c>
      <c r="D38" s="26">
        <f t="shared" si="57"/>
        <v>8522</v>
      </c>
      <c r="E38" s="26">
        <f t="shared" si="57"/>
        <v>2335</v>
      </c>
      <c r="F38" s="26">
        <f t="shared" si="57"/>
        <v>2219</v>
      </c>
      <c r="G38" s="26">
        <f t="shared" si="57"/>
        <v>558</v>
      </c>
      <c r="H38" s="26">
        <f t="shared" si="57"/>
        <v>3410</v>
      </c>
      <c r="J38" s="6" t="s">
        <v>31</v>
      </c>
      <c r="K38" s="6">
        <v>80.5</v>
      </c>
      <c r="L38" s="26">
        <v>3480</v>
      </c>
      <c r="M38" s="9">
        <f>N38+O38+P38+Q38</f>
        <v>2935</v>
      </c>
      <c r="N38" s="26">
        <v>311</v>
      </c>
      <c r="O38" s="26">
        <v>1014</v>
      </c>
      <c r="P38" s="26">
        <v>344</v>
      </c>
      <c r="Q38" s="26">
        <v>1266</v>
      </c>
      <c r="R38" s="6" t="s">
        <v>31</v>
      </c>
      <c r="S38" s="6">
        <v>139.1</v>
      </c>
      <c r="T38" s="26">
        <v>6248</v>
      </c>
      <c r="U38" s="9">
        <f>V38+W38+X38+Y38</f>
        <v>5341</v>
      </c>
      <c r="V38" s="26">
        <v>1975</v>
      </c>
      <c r="W38" s="26">
        <v>1169</v>
      </c>
      <c r="X38" s="26">
        <v>212</v>
      </c>
      <c r="Y38" s="26">
        <v>1985</v>
      </c>
      <c r="AA38" s="6" t="s">
        <v>31</v>
      </c>
      <c r="AB38" s="6">
        <v>82.9</v>
      </c>
      <c r="AC38" s="26">
        <v>4589</v>
      </c>
      <c r="AD38" s="9">
        <f>AE38+AF38+AG38+AH38</f>
        <v>3971</v>
      </c>
      <c r="AE38" s="26">
        <v>1755</v>
      </c>
      <c r="AF38" s="26">
        <v>770</v>
      </c>
      <c r="AG38" s="26">
        <v>85</v>
      </c>
      <c r="AH38" s="26">
        <v>1361</v>
      </c>
      <c r="AJ38" s="6" t="s">
        <v>31</v>
      </c>
      <c r="AK38" s="6">
        <v>4.5999999999999996</v>
      </c>
      <c r="AL38" s="26">
        <v>317</v>
      </c>
      <c r="AM38" s="9">
        <f>AN38+AO38+AP38+AQ38</f>
        <v>246</v>
      </c>
      <c r="AN38" s="26">
        <v>49</v>
      </c>
      <c r="AO38" s="26">
        <v>36</v>
      </c>
      <c r="AP38" s="26">
        <v>2</v>
      </c>
      <c r="AQ38" s="26">
        <v>159</v>
      </c>
    </row>
    <row r="39" spans="1:43">
      <c r="A39" s="6" t="s">
        <v>32</v>
      </c>
      <c r="B39" s="27">
        <f t="shared" si="57"/>
        <v>178.5</v>
      </c>
      <c r="C39" s="6">
        <f t="shared" si="57"/>
        <v>10370</v>
      </c>
      <c r="D39" s="6">
        <f t="shared" si="57"/>
        <v>9807</v>
      </c>
      <c r="E39" s="6">
        <f t="shared" si="57"/>
        <v>1574</v>
      </c>
      <c r="F39" s="6">
        <f t="shared" si="57"/>
        <v>1234</v>
      </c>
      <c r="G39" s="6">
        <f t="shared" si="57"/>
        <v>136</v>
      </c>
      <c r="H39" s="6">
        <f t="shared" si="57"/>
        <v>6863</v>
      </c>
      <c r="J39" s="6" t="s">
        <v>32</v>
      </c>
      <c r="K39" s="27">
        <v>109.5</v>
      </c>
      <c r="L39" s="26">
        <v>5190</v>
      </c>
      <c r="M39" s="9">
        <f>N39+O39+P39+Q39</f>
        <v>4964</v>
      </c>
      <c r="N39" s="26">
        <v>566</v>
      </c>
      <c r="O39" s="26">
        <v>1006</v>
      </c>
      <c r="P39" s="26">
        <v>112</v>
      </c>
      <c r="Q39" s="26">
        <v>3280</v>
      </c>
      <c r="R39" s="6" t="s">
        <v>32</v>
      </c>
      <c r="S39" s="6">
        <v>56.8</v>
      </c>
      <c r="T39" s="26">
        <v>4070</v>
      </c>
      <c r="U39" s="9">
        <f>V39+W39+X39+Y39</f>
        <v>3779</v>
      </c>
      <c r="V39" s="26">
        <v>885</v>
      </c>
      <c r="W39" s="26">
        <v>207</v>
      </c>
      <c r="X39" s="26">
        <v>21</v>
      </c>
      <c r="Y39" s="26">
        <v>2666</v>
      </c>
      <c r="AA39" s="6" t="s">
        <v>32</v>
      </c>
      <c r="AB39" s="27">
        <v>49.8</v>
      </c>
      <c r="AC39" s="26">
        <v>3610</v>
      </c>
      <c r="AD39" s="9">
        <f>AE39+AF39+AG39+AH39</f>
        <v>3373</v>
      </c>
      <c r="AE39" s="26">
        <v>882</v>
      </c>
      <c r="AF39" s="26">
        <v>207</v>
      </c>
      <c r="AG39" s="26">
        <v>21</v>
      </c>
      <c r="AH39" s="26">
        <v>2263</v>
      </c>
      <c r="AJ39" s="6" t="s">
        <v>32</v>
      </c>
      <c r="AK39" s="27">
        <v>12.2</v>
      </c>
      <c r="AL39" s="26">
        <v>1110</v>
      </c>
      <c r="AM39" s="9">
        <f>AN39+AO39+AP39+AQ39</f>
        <v>1064</v>
      </c>
      <c r="AN39" s="26">
        <v>123</v>
      </c>
      <c r="AO39" s="26">
        <v>21</v>
      </c>
      <c r="AP39" s="26">
        <v>3</v>
      </c>
      <c r="AQ39" s="26">
        <v>917</v>
      </c>
    </row>
    <row r="40" spans="1:43">
      <c r="A40" s="6" t="s">
        <v>12</v>
      </c>
      <c r="B40" s="26">
        <f t="shared" ref="B40:H40" si="58">+B39/B38*100</f>
        <v>79.6164139161463</v>
      </c>
      <c r="C40" s="26">
        <f t="shared" si="58"/>
        <v>103.23544051767048</v>
      </c>
      <c r="D40" s="26">
        <f t="shared" si="58"/>
        <v>115.07862004224361</v>
      </c>
      <c r="E40" s="26">
        <f t="shared" si="58"/>
        <v>67.408993576017124</v>
      </c>
      <c r="F40" s="26">
        <f t="shared" si="58"/>
        <v>55.610635421360975</v>
      </c>
      <c r="G40" s="26">
        <f t="shared" si="58"/>
        <v>24.372759856630825</v>
      </c>
      <c r="H40" s="26">
        <f t="shared" si="58"/>
        <v>201.2609970674487</v>
      </c>
      <c r="J40" s="6" t="s">
        <v>12</v>
      </c>
      <c r="K40" s="26">
        <f t="shared" ref="K40:Q40" si="59">+K39/K38*100</f>
        <v>136.0248447204969</v>
      </c>
      <c r="L40" s="26">
        <f t="shared" si="59"/>
        <v>149.13793103448276</v>
      </c>
      <c r="M40" s="26">
        <f t="shared" si="59"/>
        <v>169.13117546848383</v>
      </c>
      <c r="N40" s="26">
        <f t="shared" si="59"/>
        <v>181.9935691318328</v>
      </c>
      <c r="O40" s="26">
        <f t="shared" si="59"/>
        <v>99.211045364891518</v>
      </c>
      <c r="P40" s="26">
        <f t="shared" si="59"/>
        <v>32.558139534883722</v>
      </c>
      <c r="Q40" s="26">
        <f t="shared" si="59"/>
        <v>259.08372827804106</v>
      </c>
      <c r="R40" s="6" t="s">
        <v>12</v>
      </c>
      <c r="S40" s="26">
        <f t="shared" ref="S40:Y40" si="60">+S39/S38*100</f>
        <v>40.833932422717467</v>
      </c>
      <c r="T40" s="26">
        <f t="shared" si="60"/>
        <v>65.140845070422543</v>
      </c>
      <c r="U40" s="26">
        <f t="shared" si="60"/>
        <v>70.754540348249392</v>
      </c>
      <c r="V40" s="26">
        <f t="shared" si="60"/>
        <v>44.810126582278478</v>
      </c>
      <c r="W40" s="26">
        <f t="shared" si="60"/>
        <v>17.70744225834046</v>
      </c>
      <c r="X40" s="26">
        <f t="shared" si="60"/>
        <v>9.9056603773584904</v>
      </c>
      <c r="Y40" s="26">
        <f t="shared" si="60"/>
        <v>134.30730478589422</v>
      </c>
      <c r="AA40" s="6" t="s">
        <v>12</v>
      </c>
      <c r="AB40" s="26">
        <f t="shared" ref="AB40:AH40" si="61">+AB39/AB38*100</f>
        <v>60.07237635705669</v>
      </c>
      <c r="AC40" s="26">
        <f t="shared" si="61"/>
        <v>78.666376116801047</v>
      </c>
      <c r="AD40" s="26">
        <f>+AD39/AD38*100</f>
        <v>84.940820951901287</v>
      </c>
      <c r="AE40" s="26">
        <f t="shared" si="61"/>
        <v>50.256410256410255</v>
      </c>
      <c r="AF40" s="26">
        <f t="shared" si="61"/>
        <v>26.88311688311688</v>
      </c>
      <c r="AG40" s="26">
        <f t="shared" si="61"/>
        <v>24.705882352941178</v>
      </c>
      <c r="AH40" s="26">
        <f t="shared" si="61"/>
        <v>166.27479794268919</v>
      </c>
      <c r="AJ40" s="6" t="s">
        <v>12</v>
      </c>
      <c r="AK40" s="26">
        <f t="shared" ref="AK40:AQ40" si="62">+AK39/AK38*100</f>
        <v>265.21739130434787</v>
      </c>
      <c r="AL40" s="26">
        <f t="shared" si="62"/>
        <v>350.1577287066246</v>
      </c>
      <c r="AM40" s="26">
        <f t="shared" si="62"/>
        <v>432.52032520325201</v>
      </c>
      <c r="AN40" s="26">
        <f t="shared" si="62"/>
        <v>251.0204081632653</v>
      </c>
      <c r="AO40" s="26">
        <f t="shared" si="62"/>
        <v>58.333333333333336</v>
      </c>
      <c r="AP40" s="26">
        <f t="shared" si="62"/>
        <v>150</v>
      </c>
      <c r="AQ40" s="26">
        <f t="shared" si="62"/>
        <v>576.72955974842773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>
      <c r="A42" t="s">
        <v>49</v>
      </c>
    </row>
    <row r="43" spans="1:43">
      <c r="A43" s="127" t="s">
        <v>0</v>
      </c>
      <c r="B43" s="127" t="s">
        <v>1</v>
      </c>
      <c r="C43" s="127" t="s">
        <v>2</v>
      </c>
      <c r="D43" s="127" t="s">
        <v>3</v>
      </c>
      <c r="E43" s="127" t="s">
        <v>4</v>
      </c>
      <c r="F43" s="127" t="s">
        <v>5</v>
      </c>
      <c r="G43" s="127" t="s">
        <v>6</v>
      </c>
      <c r="H43" s="127" t="s">
        <v>7</v>
      </c>
    </row>
    <row r="44" spans="1:43">
      <c r="A44" s="127"/>
      <c r="B44" s="127" t="s">
        <v>8</v>
      </c>
      <c r="C44" s="127" t="s">
        <v>9</v>
      </c>
      <c r="D44" s="127" t="s">
        <v>10</v>
      </c>
      <c r="E44" s="127" t="s">
        <v>9</v>
      </c>
      <c r="F44" s="127" t="s">
        <v>9</v>
      </c>
      <c r="G44" s="127" t="s">
        <v>9</v>
      </c>
      <c r="H44" s="127" t="s">
        <v>9</v>
      </c>
    </row>
    <row r="45" spans="1:43">
      <c r="A45" s="127" t="s">
        <v>17</v>
      </c>
      <c r="B45" s="127"/>
      <c r="C45" s="127"/>
      <c r="D45" s="127"/>
      <c r="E45" s="127"/>
      <c r="F45" s="127"/>
      <c r="G45" s="127"/>
      <c r="H45" s="127"/>
    </row>
    <row r="46" spans="1:43">
      <c r="A46" s="127" t="s">
        <v>40</v>
      </c>
      <c r="B46" s="127">
        <f t="shared" ref="B46:H47" si="63">K9+S9+AK9</f>
        <v>495.09999999999997</v>
      </c>
      <c r="C46" s="127">
        <f t="shared" si="63"/>
        <v>39725</v>
      </c>
      <c r="D46" s="127">
        <f t="shared" si="63"/>
        <v>33881</v>
      </c>
      <c r="E46" s="127">
        <f t="shared" si="63"/>
        <v>11046</v>
      </c>
      <c r="F46" s="127">
        <f t="shared" si="63"/>
        <v>9790</v>
      </c>
      <c r="G46" s="127">
        <f t="shared" si="63"/>
        <v>2375</v>
      </c>
      <c r="H46" s="127">
        <f t="shared" si="63"/>
        <v>10670</v>
      </c>
    </row>
    <row r="47" spans="1:43">
      <c r="A47" s="127" t="s">
        <v>50</v>
      </c>
      <c r="B47" s="127">
        <f t="shared" si="63"/>
        <v>374.2</v>
      </c>
      <c r="C47" s="127">
        <f t="shared" si="63"/>
        <v>36300</v>
      </c>
      <c r="D47" s="127">
        <f t="shared" si="63"/>
        <v>34617</v>
      </c>
      <c r="E47" s="127">
        <f t="shared" si="63"/>
        <v>9353</v>
      </c>
      <c r="F47" s="127">
        <f t="shared" si="63"/>
        <v>6779</v>
      </c>
      <c r="G47" s="127">
        <f t="shared" si="63"/>
        <v>1259</v>
      </c>
      <c r="H47" s="127">
        <f t="shared" si="63"/>
        <v>17226</v>
      </c>
    </row>
    <row r="48" spans="1:43">
      <c r="A48" s="127" t="s">
        <v>44</v>
      </c>
      <c r="B48" s="127">
        <f>B47/B46*100</f>
        <v>75.580690769541519</v>
      </c>
      <c r="C48" s="127">
        <f t="shared" ref="C48:H48" si="64">C47/C46*100</f>
        <v>91.378225298930147</v>
      </c>
      <c r="D48" s="127">
        <f t="shared" si="64"/>
        <v>102.17230896372598</v>
      </c>
      <c r="E48" s="127">
        <f t="shared" si="64"/>
        <v>84.673184863298928</v>
      </c>
      <c r="F48" s="127">
        <f t="shared" si="64"/>
        <v>69.244126659857002</v>
      </c>
      <c r="G48" s="127">
        <f t="shared" si="64"/>
        <v>53.010526315789477</v>
      </c>
      <c r="H48" s="127">
        <f t="shared" si="64"/>
        <v>161.44329896907217</v>
      </c>
    </row>
    <row r="49" spans="1:8">
      <c r="A49" s="127" t="s">
        <v>11</v>
      </c>
      <c r="B49" s="127"/>
      <c r="C49" s="127"/>
      <c r="D49" s="127"/>
      <c r="E49" s="127"/>
      <c r="F49" s="127"/>
      <c r="G49" s="127"/>
      <c r="H49" s="127"/>
    </row>
    <row r="50" spans="1:8">
      <c r="A50" s="127" t="s">
        <v>40</v>
      </c>
      <c r="B50" s="127">
        <f t="shared" ref="B50:H51" si="65">K13+S13+AK13</f>
        <v>6.4</v>
      </c>
      <c r="C50" s="127">
        <f t="shared" si="65"/>
        <v>416</v>
      </c>
      <c r="D50" s="127">
        <f t="shared" si="65"/>
        <v>343</v>
      </c>
      <c r="E50" s="127">
        <f t="shared" si="65"/>
        <v>91</v>
      </c>
      <c r="F50" s="127">
        <f t="shared" si="65"/>
        <v>171</v>
      </c>
      <c r="G50" s="127">
        <f t="shared" si="65"/>
        <v>25</v>
      </c>
      <c r="H50" s="127">
        <f t="shared" si="65"/>
        <v>56</v>
      </c>
    </row>
    <row r="51" spans="1:8">
      <c r="A51" s="127" t="s">
        <v>50</v>
      </c>
      <c r="B51" s="127">
        <f t="shared" si="65"/>
        <v>2.5</v>
      </c>
      <c r="C51" s="127">
        <f t="shared" si="65"/>
        <v>100</v>
      </c>
      <c r="D51" s="127">
        <f t="shared" si="65"/>
        <v>94</v>
      </c>
      <c r="E51" s="127">
        <f t="shared" si="65"/>
        <v>0</v>
      </c>
      <c r="F51" s="127">
        <f t="shared" si="65"/>
        <v>9</v>
      </c>
      <c r="G51" s="127">
        <f t="shared" si="65"/>
        <v>1</v>
      </c>
      <c r="H51" s="127">
        <f t="shared" si="65"/>
        <v>84</v>
      </c>
    </row>
    <row r="52" spans="1:8">
      <c r="A52" s="127" t="s">
        <v>44</v>
      </c>
      <c r="B52" s="127">
        <f t="shared" ref="B52:H52" si="66">B51/B50*100</f>
        <v>39.0625</v>
      </c>
      <c r="C52" s="127">
        <f t="shared" si="66"/>
        <v>24.03846153846154</v>
      </c>
      <c r="D52" s="127">
        <f t="shared" si="66"/>
        <v>27.405247813411076</v>
      </c>
      <c r="E52" s="127">
        <f t="shared" si="66"/>
        <v>0</v>
      </c>
      <c r="F52" s="127">
        <f t="shared" si="66"/>
        <v>5.2631578947368416</v>
      </c>
      <c r="G52" s="127">
        <f t="shared" si="66"/>
        <v>4</v>
      </c>
      <c r="H52" s="127">
        <f t="shared" si="66"/>
        <v>150</v>
      </c>
    </row>
    <row r="53" spans="1:8">
      <c r="A53" s="127" t="s">
        <v>13</v>
      </c>
      <c r="B53" s="127">
        <f t="shared" ref="B53:H55" si="67">K16+S16+AK16</f>
        <v>0</v>
      </c>
      <c r="C53" s="127">
        <f t="shared" si="67"/>
        <v>0</v>
      </c>
      <c r="D53" s="127">
        <f t="shared" si="67"/>
        <v>0</v>
      </c>
      <c r="E53" s="127">
        <f t="shared" si="67"/>
        <v>0</v>
      </c>
      <c r="F53" s="127">
        <f t="shared" si="67"/>
        <v>0</v>
      </c>
      <c r="G53" s="127">
        <f t="shared" si="67"/>
        <v>0</v>
      </c>
      <c r="H53" s="127">
        <f t="shared" si="67"/>
        <v>0</v>
      </c>
    </row>
    <row r="54" spans="1:8">
      <c r="A54" s="127" t="s">
        <v>14</v>
      </c>
      <c r="B54" s="127">
        <f t="shared" si="67"/>
        <v>0</v>
      </c>
      <c r="C54" s="127">
        <f t="shared" si="67"/>
        <v>0</v>
      </c>
      <c r="D54" s="127">
        <f t="shared" si="67"/>
        <v>0</v>
      </c>
      <c r="E54" s="127">
        <f t="shared" si="67"/>
        <v>0</v>
      </c>
      <c r="F54" s="127">
        <f t="shared" si="67"/>
        <v>0</v>
      </c>
      <c r="G54" s="127">
        <f t="shared" si="67"/>
        <v>0</v>
      </c>
      <c r="H54" s="127">
        <f t="shared" si="67"/>
        <v>0</v>
      </c>
    </row>
    <row r="55" spans="1:8">
      <c r="A55" s="127" t="s">
        <v>15</v>
      </c>
      <c r="B55" s="127">
        <f t="shared" si="67"/>
        <v>0</v>
      </c>
      <c r="C55" s="127">
        <f t="shared" si="67"/>
        <v>0</v>
      </c>
      <c r="D55" s="127">
        <f t="shared" si="67"/>
        <v>0</v>
      </c>
      <c r="E55" s="127">
        <f t="shared" si="67"/>
        <v>0</v>
      </c>
      <c r="F55" s="127">
        <f t="shared" si="67"/>
        <v>0</v>
      </c>
      <c r="G55" s="127">
        <f t="shared" si="67"/>
        <v>0</v>
      </c>
      <c r="H55" s="127">
        <f t="shared" si="67"/>
        <v>0</v>
      </c>
    </row>
    <row r="56" spans="1:8">
      <c r="A56" s="127" t="s">
        <v>16</v>
      </c>
      <c r="B56" s="127"/>
      <c r="C56" s="127"/>
      <c r="D56" s="127"/>
      <c r="E56" s="127"/>
      <c r="F56" s="127"/>
      <c r="G56" s="127"/>
      <c r="H56" s="127"/>
    </row>
    <row r="57" spans="1:8">
      <c r="A57" s="127" t="s">
        <v>40</v>
      </c>
      <c r="B57" s="127">
        <f t="shared" ref="B57:H58" si="68">K20+S20+AK20</f>
        <v>488.7</v>
      </c>
      <c r="C57" s="127">
        <f t="shared" si="68"/>
        <v>39309</v>
      </c>
      <c r="D57" s="127">
        <f t="shared" si="68"/>
        <v>33538</v>
      </c>
      <c r="E57" s="127">
        <f t="shared" si="68"/>
        <v>10955</v>
      </c>
      <c r="F57" s="127">
        <f t="shared" si="68"/>
        <v>9619</v>
      </c>
      <c r="G57" s="127">
        <f t="shared" si="68"/>
        <v>2350</v>
      </c>
      <c r="H57" s="127">
        <f t="shared" si="68"/>
        <v>10614</v>
      </c>
    </row>
    <row r="58" spans="1:8">
      <c r="A58" s="127" t="s">
        <v>50</v>
      </c>
      <c r="B58" s="127">
        <f t="shared" si="68"/>
        <v>371.7</v>
      </c>
      <c r="C58" s="127">
        <f t="shared" si="68"/>
        <v>36200</v>
      </c>
      <c r="D58" s="127">
        <f t="shared" si="68"/>
        <v>34523</v>
      </c>
      <c r="E58" s="127">
        <f t="shared" si="68"/>
        <v>9353</v>
      </c>
      <c r="F58" s="127">
        <f t="shared" si="68"/>
        <v>6770</v>
      </c>
      <c r="G58" s="127">
        <f t="shared" si="68"/>
        <v>1258</v>
      </c>
      <c r="H58" s="127">
        <f t="shared" si="68"/>
        <v>17142</v>
      </c>
    </row>
    <row r="59" spans="1:8">
      <c r="A59" s="127" t="s">
        <v>44</v>
      </c>
      <c r="B59" s="127">
        <f t="shared" ref="B59:H59" si="69">B58/B57*100</f>
        <v>76.058931860036822</v>
      </c>
      <c r="C59" s="127">
        <f t="shared" si="69"/>
        <v>92.090869775369512</v>
      </c>
      <c r="D59" s="127">
        <f t="shared" si="69"/>
        <v>102.93696702248197</v>
      </c>
      <c r="E59" s="127">
        <f t="shared" si="69"/>
        <v>85.376540392514826</v>
      </c>
      <c r="F59" s="127">
        <f t="shared" si="69"/>
        <v>70.381536542260108</v>
      </c>
      <c r="G59" s="127">
        <f t="shared" si="69"/>
        <v>53.531914893617014</v>
      </c>
      <c r="H59" s="127">
        <f t="shared" si="69"/>
        <v>161.50367439231204</v>
      </c>
    </row>
    <row r="60" spans="1:8">
      <c r="A60" s="127" t="s">
        <v>21</v>
      </c>
      <c r="B60" s="127">
        <f t="shared" ref="B60:H61" si="70">K23+S23+AK23</f>
        <v>0</v>
      </c>
      <c r="C60" s="127">
        <f t="shared" si="70"/>
        <v>0</v>
      </c>
      <c r="D60" s="127">
        <f t="shared" si="70"/>
        <v>0</v>
      </c>
      <c r="E60" s="127">
        <f t="shared" si="70"/>
        <v>0</v>
      </c>
      <c r="F60" s="127">
        <f t="shared" si="70"/>
        <v>0</v>
      </c>
      <c r="G60" s="127">
        <f t="shared" si="70"/>
        <v>0</v>
      </c>
      <c r="H60" s="127">
        <f t="shared" si="70"/>
        <v>0</v>
      </c>
    </row>
    <row r="61" spans="1:8">
      <c r="A61" s="127" t="s">
        <v>51</v>
      </c>
      <c r="B61" s="127">
        <f t="shared" si="70"/>
        <v>0</v>
      </c>
      <c r="C61" s="127">
        <f t="shared" si="70"/>
        <v>0</v>
      </c>
      <c r="D61" s="127">
        <f t="shared" si="70"/>
        <v>0</v>
      </c>
      <c r="E61" s="127">
        <f t="shared" si="70"/>
        <v>0</v>
      </c>
      <c r="F61" s="127">
        <f t="shared" si="70"/>
        <v>0</v>
      </c>
      <c r="G61" s="127">
        <f t="shared" si="70"/>
        <v>0</v>
      </c>
      <c r="H61" s="127">
        <f t="shared" si="70"/>
        <v>0</v>
      </c>
    </row>
    <row r="62" spans="1:8">
      <c r="A62" s="127" t="s">
        <v>12</v>
      </c>
      <c r="B62" s="127" t="e">
        <f t="shared" ref="B62:H62" si="71">B61/B60*100</f>
        <v>#DIV/0!</v>
      </c>
      <c r="C62" s="127" t="e">
        <f t="shared" si="71"/>
        <v>#DIV/0!</v>
      </c>
      <c r="D62" s="127" t="e">
        <f t="shared" si="71"/>
        <v>#DIV/0!</v>
      </c>
      <c r="E62" s="127" t="e">
        <f t="shared" si="71"/>
        <v>#DIV/0!</v>
      </c>
      <c r="F62" s="127" t="e">
        <f t="shared" si="71"/>
        <v>#DIV/0!</v>
      </c>
      <c r="G62" s="127" t="e">
        <f t="shared" si="71"/>
        <v>#DIV/0!</v>
      </c>
      <c r="H62" s="127" t="e">
        <f t="shared" si="71"/>
        <v>#DIV/0!</v>
      </c>
    </row>
    <row r="63" spans="1:8">
      <c r="A63" s="127" t="s">
        <v>23</v>
      </c>
      <c r="B63" s="127">
        <f t="shared" ref="B63:H64" si="72">K26+S26+AK26</f>
        <v>40.299999999999997</v>
      </c>
      <c r="C63" s="127">
        <f t="shared" si="72"/>
        <v>1420</v>
      </c>
      <c r="D63" s="127">
        <f t="shared" si="72"/>
        <v>1201</v>
      </c>
      <c r="E63" s="127">
        <f t="shared" si="72"/>
        <v>108</v>
      </c>
      <c r="F63" s="127">
        <f t="shared" si="72"/>
        <v>193</v>
      </c>
      <c r="G63" s="127">
        <f t="shared" si="72"/>
        <v>53</v>
      </c>
      <c r="H63" s="127">
        <f t="shared" si="72"/>
        <v>847</v>
      </c>
    </row>
    <row r="64" spans="1:8">
      <c r="A64" s="127" t="s">
        <v>45</v>
      </c>
      <c r="B64" s="127">
        <f t="shared" si="72"/>
        <v>53.7</v>
      </c>
      <c r="C64" s="127">
        <f t="shared" si="72"/>
        <v>1760</v>
      </c>
      <c r="D64" s="127">
        <f t="shared" si="72"/>
        <v>1582</v>
      </c>
      <c r="E64" s="127">
        <f t="shared" si="72"/>
        <v>26</v>
      </c>
      <c r="F64" s="127">
        <f t="shared" si="72"/>
        <v>18</v>
      </c>
      <c r="G64" s="127">
        <f t="shared" si="72"/>
        <v>5</v>
      </c>
      <c r="H64" s="127">
        <f t="shared" si="72"/>
        <v>1533</v>
      </c>
    </row>
    <row r="65" spans="1:8">
      <c r="A65" s="127" t="s">
        <v>12</v>
      </c>
      <c r="B65" s="127">
        <f t="shared" ref="B65:H65" si="73">B64/B63*100</f>
        <v>133.25062034739457</v>
      </c>
      <c r="C65" s="127">
        <f t="shared" si="73"/>
        <v>123.94366197183098</v>
      </c>
      <c r="D65" s="127">
        <f t="shared" si="73"/>
        <v>131.72356369691926</v>
      </c>
      <c r="E65" s="127">
        <f t="shared" si="73"/>
        <v>24.074074074074073</v>
      </c>
      <c r="F65" s="127">
        <f t="shared" si="73"/>
        <v>9.3264248704663206</v>
      </c>
      <c r="G65" s="127">
        <f t="shared" si="73"/>
        <v>9.433962264150944</v>
      </c>
      <c r="H65" s="127">
        <f t="shared" si="73"/>
        <v>180.99173553719007</v>
      </c>
    </row>
    <row r="66" spans="1:8">
      <c r="A66" s="127" t="s">
        <v>25</v>
      </c>
      <c r="B66" s="127">
        <f t="shared" ref="B66:H67" si="74">K29+S29+AK29</f>
        <v>54.8</v>
      </c>
      <c r="C66" s="127">
        <f t="shared" si="74"/>
        <v>1693</v>
      </c>
      <c r="D66" s="127">
        <f t="shared" si="74"/>
        <v>1414</v>
      </c>
      <c r="E66" s="127">
        <f t="shared" si="74"/>
        <v>198</v>
      </c>
      <c r="F66" s="127">
        <f t="shared" si="74"/>
        <v>558</v>
      </c>
      <c r="G66" s="127">
        <f t="shared" si="74"/>
        <v>46</v>
      </c>
      <c r="H66" s="127">
        <f t="shared" si="74"/>
        <v>612</v>
      </c>
    </row>
    <row r="67" spans="1:8">
      <c r="A67" s="127" t="s">
        <v>46</v>
      </c>
      <c r="B67" s="127">
        <f t="shared" si="74"/>
        <v>12.3</v>
      </c>
      <c r="C67" s="127">
        <f t="shared" si="74"/>
        <v>590</v>
      </c>
      <c r="D67" s="127">
        <f t="shared" si="74"/>
        <v>557</v>
      </c>
      <c r="E67" s="127">
        <f t="shared" si="74"/>
        <v>94</v>
      </c>
      <c r="F67" s="127">
        <f t="shared" si="74"/>
        <v>19</v>
      </c>
      <c r="G67" s="127">
        <f t="shared" si="74"/>
        <v>1</v>
      </c>
      <c r="H67" s="127">
        <f t="shared" si="74"/>
        <v>443</v>
      </c>
    </row>
    <row r="68" spans="1:8">
      <c r="A68" s="127" t="s">
        <v>12</v>
      </c>
      <c r="B68" s="127">
        <f t="shared" ref="B68:H68" si="75">B67/B66*100</f>
        <v>22.445255474452559</v>
      </c>
      <c r="C68" s="127">
        <f t="shared" si="75"/>
        <v>34.849379799173064</v>
      </c>
      <c r="D68" s="127">
        <f t="shared" si="75"/>
        <v>39.391796322489391</v>
      </c>
      <c r="E68" s="127">
        <f t="shared" si="75"/>
        <v>47.474747474747474</v>
      </c>
      <c r="F68" s="127">
        <f t="shared" si="75"/>
        <v>3.4050179211469538</v>
      </c>
      <c r="G68" s="127">
        <f t="shared" si="75"/>
        <v>2.1739130434782608</v>
      </c>
      <c r="H68" s="127">
        <f t="shared" si="75"/>
        <v>72.385620915032675</v>
      </c>
    </row>
    <row r="69" spans="1:8">
      <c r="A69" s="127" t="s">
        <v>27</v>
      </c>
      <c r="B69" s="127">
        <f t="shared" ref="B69:H70" si="76">K32+S32+AK32</f>
        <v>37.6</v>
      </c>
      <c r="C69" s="127">
        <f t="shared" si="76"/>
        <v>11068</v>
      </c>
      <c r="D69" s="127">
        <f t="shared" si="76"/>
        <v>10186</v>
      </c>
      <c r="E69" s="127">
        <f t="shared" si="76"/>
        <v>7718</v>
      </c>
      <c r="F69" s="127">
        <f t="shared" si="76"/>
        <v>1669</v>
      </c>
      <c r="G69" s="127">
        <f t="shared" si="76"/>
        <v>332</v>
      </c>
      <c r="H69" s="127">
        <f t="shared" si="76"/>
        <v>467</v>
      </c>
    </row>
    <row r="70" spans="1:8">
      <c r="A70" s="127" t="s">
        <v>47</v>
      </c>
      <c r="B70" s="127">
        <f t="shared" si="76"/>
        <v>41.4</v>
      </c>
      <c r="C70" s="127">
        <f t="shared" si="76"/>
        <v>10750</v>
      </c>
      <c r="D70" s="127">
        <f t="shared" si="76"/>
        <v>10614</v>
      </c>
      <c r="E70" s="127">
        <f t="shared" si="76"/>
        <v>7440</v>
      </c>
      <c r="F70" s="127">
        <f t="shared" si="76"/>
        <v>1721</v>
      </c>
      <c r="G70" s="127">
        <f t="shared" si="76"/>
        <v>98</v>
      </c>
      <c r="H70" s="127">
        <f t="shared" si="76"/>
        <v>1355</v>
      </c>
    </row>
    <row r="71" spans="1:8">
      <c r="A71" s="127" t="s">
        <v>12</v>
      </c>
      <c r="B71" s="127">
        <f t="shared" ref="B71:H71" si="77">B70/B69*100</f>
        <v>110.10638297872339</v>
      </c>
      <c r="C71" s="127">
        <f t="shared" si="77"/>
        <v>97.126852186483561</v>
      </c>
      <c r="D71" s="127">
        <f t="shared" si="77"/>
        <v>104.20184567052817</v>
      </c>
      <c r="E71" s="127">
        <f t="shared" si="77"/>
        <v>96.398030577869918</v>
      </c>
      <c r="F71" s="127">
        <f t="shared" si="77"/>
        <v>103.11563810665069</v>
      </c>
      <c r="G71" s="127">
        <f t="shared" si="77"/>
        <v>29.518072289156628</v>
      </c>
      <c r="H71" s="127">
        <f t="shared" si="77"/>
        <v>290.14989293361884</v>
      </c>
    </row>
    <row r="72" spans="1:8">
      <c r="A72" s="127" t="s">
        <v>29</v>
      </c>
      <c r="B72" s="127">
        <f t="shared" ref="B72:H73" si="78">K35+S35+AK35</f>
        <v>131.80000000000001</v>
      </c>
      <c r="C72" s="127">
        <f t="shared" si="78"/>
        <v>15083</v>
      </c>
      <c r="D72" s="127">
        <f t="shared" si="78"/>
        <v>12215</v>
      </c>
      <c r="E72" s="127">
        <f t="shared" si="78"/>
        <v>596</v>
      </c>
      <c r="F72" s="127">
        <f t="shared" si="78"/>
        <v>4980</v>
      </c>
      <c r="G72" s="127">
        <f t="shared" si="78"/>
        <v>1361</v>
      </c>
      <c r="H72" s="127">
        <f t="shared" si="78"/>
        <v>5278</v>
      </c>
    </row>
    <row r="73" spans="1:8">
      <c r="A73" s="127" t="s">
        <v>48</v>
      </c>
      <c r="B73" s="127">
        <f t="shared" si="78"/>
        <v>85.8</v>
      </c>
      <c r="C73" s="127">
        <f t="shared" si="78"/>
        <v>12730</v>
      </c>
      <c r="D73" s="127">
        <f t="shared" si="78"/>
        <v>11963</v>
      </c>
      <c r="E73" s="127">
        <f t="shared" si="78"/>
        <v>219</v>
      </c>
      <c r="F73" s="127">
        <f t="shared" si="78"/>
        <v>3778</v>
      </c>
      <c r="G73" s="127">
        <f t="shared" si="78"/>
        <v>1018</v>
      </c>
      <c r="H73" s="127">
        <f t="shared" si="78"/>
        <v>6948</v>
      </c>
    </row>
    <row r="74" spans="1:8">
      <c r="A74" s="127" t="s">
        <v>12</v>
      </c>
      <c r="B74" s="127">
        <f t="shared" ref="B74:H74" si="79">B73/B72*100</f>
        <v>65.09863429438542</v>
      </c>
      <c r="C74" s="127">
        <f t="shared" si="79"/>
        <v>84.399655240999806</v>
      </c>
      <c r="D74" s="127">
        <f t="shared" si="79"/>
        <v>97.936962750716333</v>
      </c>
      <c r="E74" s="127">
        <f t="shared" si="79"/>
        <v>36.744966442953022</v>
      </c>
      <c r="F74" s="127">
        <f t="shared" si="79"/>
        <v>75.863453815261039</v>
      </c>
      <c r="G74" s="127">
        <f t="shared" si="79"/>
        <v>74.797942689199118</v>
      </c>
      <c r="H74" s="127">
        <f t="shared" si="79"/>
        <v>131.64077302008337</v>
      </c>
    </row>
    <row r="75" spans="1:8">
      <c r="A75" s="127" t="s">
        <v>31</v>
      </c>
      <c r="B75" s="127">
        <f t="shared" ref="B75:H76" si="80">K38+S38+AK38</f>
        <v>224.2</v>
      </c>
      <c r="C75" s="127">
        <f t="shared" si="80"/>
        <v>10045</v>
      </c>
      <c r="D75" s="127">
        <f t="shared" si="80"/>
        <v>8522</v>
      </c>
      <c r="E75" s="127">
        <f t="shared" si="80"/>
        <v>2335</v>
      </c>
      <c r="F75" s="127">
        <f t="shared" si="80"/>
        <v>2219</v>
      </c>
      <c r="G75" s="127">
        <f t="shared" si="80"/>
        <v>558</v>
      </c>
      <c r="H75" s="127">
        <f t="shared" si="80"/>
        <v>3410</v>
      </c>
    </row>
    <row r="76" spans="1:8">
      <c r="A76" s="127" t="s">
        <v>52</v>
      </c>
      <c r="B76" s="127">
        <f t="shared" si="80"/>
        <v>178.5</v>
      </c>
      <c r="C76" s="127">
        <f t="shared" si="80"/>
        <v>10370</v>
      </c>
      <c r="D76" s="127">
        <f t="shared" si="80"/>
        <v>9807</v>
      </c>
      <c r="E76" s="127">
        <f t="shared" si="80"/>
        <v>1574</v>
      </c>
      <c r="F76" s="127">
        <f t="shared" si="80"/>
        <v>1234</v>
      </c>
      <c r="G76" s="127">
        <f t="shared" si="80"/>
        <v>136</v>
      </c>
      <c r="H76" s="127">
        <f t="shared" si="80"/>
        <v>6863</v>
      </c>
    </row>
    <row r="77" spans="1:8">
      <c r="A77" s="127" t="s">
        <v>12</v>
      </c>
      <c r="B77" s="127">
        <f t="shared" ref="B77:H77" si="81">B76/B75*100</f>
        <v>79.6164139161463</v>
      </c>
      <c r="C77" s="127">
        <f t="shared" si="81"/>
        <v>103.23544051767048</v>
      </c>
      <c r="D77" s="127">
        <f t="shared" si="81"/>
        <v>115.07862004224361</v>
      </c>
      <c r="E77" s="127">
        <f t="shared" si="81"/>
        <v>67.408993576017124</v>
      </c>
      <c r="F77" s="127">
        <f t="shared" si="81"/>
        <v>55.610635421360975</v>
      </c>
      <c r="G77" s="127">
        <f t="shared" si="81"/>
        <v>24.372759856630825</v>
      </c>
      <c r="H77" s="127">
        <f t="shared" si="81"/>
        <v>201.2609970674487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82">B9-B46</f>
        <v>0</v>
      </c>
      <c r="C83" s="83">
        <f t="shared" si="82"/>
        <v>0</v>
      </c>
      <c r="D83" s="83">
        <f t="shared" si="82"/>
        <v>0</v>
      </c>
      <c r="E83" s="83">
        <f t="shared" si="82"/>
        <v>0</v>
      </c>
      <c r="F83" s="83">
        <f t="shared" si="82"/>
        <v>0</v>
      </c>
      <c r="G83" s="83">
        <f t="shared" si="82"/>
        <v>0</v>
      </c>
      <c r="H83" s="83">
        <f t="shared" si="82"/>
        <v>0</v>
      </c>
    </row>
    <row r="84" spans="1:8">
      <c r="A84" s="84" t="s">
        <v>50</v>
      </c>
      <c r="B84" s="83">
        <f t="shared" si="82"/>
        <v>0</v>
      </c>
      <c r="C84" s="83">
        <f t="shared" si="82"/>
        <v>0</v>
      </c>
      <c r="D84" s="83">
        <f t="shared" si="82"/>
        <v>0</v>
      </c>
      <c r="E84" s="83">
        <f t="shared" si="82"/>
        <v>0</v>
      </c>
      <c r="F84" s="83">
        <f t="shared" si="82"/>
        <v>0</v>
      </c>
      <c r="G84" s="83">
        <f t="shared" si="82"/>
        <v>0</v>
      </c>
      <c r="H84" s="83">
        <f t="shared" si="82"/>
        <v>0</v>
      </c>
    </row>
    <row r="85" spans="1:8">
      <c r="A85" s="85" t="s">
        <v>44</v>
      </c>
      <c r="B85" s="83">
        <f t="shared" si="82"/>
        <v>0</v>
      </c>
      <c r="C85" s="83">
        <f t="shared" si="82"/>
        <v>0</v>
      </c>
      <c r="D85" s="83">
        <f t="shared" si="82"/>
        <v>0</v>
      </c>
      <c r="E85" s="83">
        <f t="shared" si="82"/>
        <v>0</v>
      </c>
      <c r="F85" s="83">
        <f t="shared" si="82"/>
        <v>0</v>
      </c>
      <c r="G85" s="83">
        <f t="shared" si="82"/>
        <v>0</v>
      </c>
      <c r="H85" s="83">
        <f t="shared" si="82"/>
        <v>0</v>
      </c>
    </row>
    <row r="86" spans="1:8">
      <c r="A86" s="87" t="s">
        <v>11</v>
      </c>
      <c r="B86" s="83">
        <f t="shared" si="82"/>
        <v>0</v>
      </c>
      <c r="C86" s="83">
        <f t="shared" si="82"/>
        <v>0</v>
      </c>
      <c r="D86" s="83">
        <f t="shared" si="82"/>
        <v>0</v>
      </c>
      <c r="E86" s="83">
        <f t="shared" si="82"/>
        <v>0</v>
      </c>
      <c r="F86" s="83">
        <f t="shared" si="82"/>
        <v>0</v>
      </c>
      <c r="G86" s="83">
        <f t="shared" si="82"/>
        <v>0</v>
      </c>
      <c r="H86" s="83">
        <f t="shared" si="82"/>
        <v>0</v>
      </c>
    </row>
    <row r="87" spans="1:8">
      <c r="A87" s="75" t="s">
        <v>40</v>
      </c>
      <c r="B87" s="83">
        <f t="shared" si="82"/>
        <v>0</v>
      </c>
      <c r="C87" s="83">
        <f t="shared" si="82"/>
        <v>0</v>
      </c>
      <c r="D87" s="83">
        <f t="shared" si="82"/>
        <v>0</v>
      </c>
      <c r="E87" s="83">
        <f t="shared" si="82"/>
        <v>0</v>
      </c>
      <c r="F87" s="83">
        <f t="shared" si="82"/>
        <v>0</v>
      </c>
      <c r="G87" s="83">
        <f t="shared" si="82"/>
        <v>0</v>
      </c>
      <c r="H87" s="83">
        <f t="shared" si="82"/>
        <v>0</v>
      </c>
    </row>
    <row r="88" spans="1:8">
      <c r="A88" s="75" t="s">
        <v>50</v>
      </c>
      <c r="B88" s="83">
        <f t="shared" si="82"/>
        <v>0</v>
      </c>
      <c r="C88" s="83">
        <f t="shared" si="82"/>
        <v>0</v>
      </c>
      <c r="D88" s="83">
        <f t="shared" si="82"/>
        <v>0</v>
      </c>
      <c r="E88" s="83">
        <f t="shared" si="82"/>
        <v>0</v>
      </c>
      <c r="F88" s="83">
        <f t="shared" si="82"/>
        <v>0</v>
      </c>
      <c r="G88" s="83">
        <f t="shared" si="82"/>
        <v>0</v>
      </c>
      <c r="H88" s="83">
        <f t="shared" si="82"/>
        <v>0</v>
      </c>
    </row>
    <row r="89" spans="1:8">
      <c r="A89" s="75" t="s">
        <v>44</v>
      </c>
      <c r="B89" s="83">
        <f t="shared" si="82"/>
        <v>0</v>
      </c>
      <c r="C89" s="83">
        <f t="shared" si="82"/>
        <v>0</v>
      </c>
      <c r="D89" s="83">
        <f t="shared" si="82"/>
        <v>0</v>
      </c>
      <c r="E89" s="83">
        <f t="shared" si="82"/>
        <v>0</v>
      </c>
      <c r="F89" s="83">
        <f t="shared" si="82"/>
        <v>0</v>
      </c>
      <c r="G89" s="83">
        <f t="shared" si="82"/>
        <v>0</v>
      </c>
      <c r="H89" s="83">
        <f t="shared" si="82"/>
        <v>0</v>
      </c>
    </row>
    <row r="90" spans="1:8">
      <c r="A90" s="75" t="s">
        <v>13</v>
      </c>
      <c r="B90" s="83">
        <f t="shared" si="82"/>
        <v>0</v>
      </c>
      <c r="C90" s="83">
        <f t="shared" si="82"/>
        <v>0</v>
      </c>
      <c r="D90" s="83">
        <f t="shared" si="82"/>
        <v>0</v>
      </c>
      <c r="E90" s="83">
        <f t="shared" si="82"/>
        <v>0</v>
      </c>
      <c r="F90" s="83">
        <f t="shared" si="82"/>
        <v>0</v>
      </c>
      <c r="G90" s="83">
        <f t="shared" si="82"/>
        <v>0</v>
      </c>
      <c r="H90" s="83">
        <f t="shared" si="82"/>
        <v>0</v>
      </c>
    </row>
    <row r="91" spans="1:8">
      <c r="A91" s="92" t="s">
        <v>14</v>
      </c>
      <c r="B91" s="83">
        <f t="shared" si="82"/>
        <v>0</v>
      </c>
      <c r="C91" s="83">
        <f t="shared" si="82"/>
        <v>0</v>
      </c>
      <c r="D91" s="83">
        <f t="shared" si="82"/>
        <v>0</v>
      </c>
      <c r="E91" s="83">
        <f t="shared" si="82"/>
        <v>0</v>
      </c>
      <c r="F91" s="83">
        <f t="shared" si="82"/>
        <v>0</v>
      </c>
      <c r="G91" s="83">
        <f t="shared" si="82"/>
        <v>0</v>
      </c>
      <c r="H91" s="83">
        <f t="shared" si="82"/>
        <v>0</v>
      </c>
    </row>
    <row r="92" spans="1:8">
      <c r="A92" s="75" t="s">
        <v>15</v>
      </c>
      <c r="B92" s="83">
        <f t="shared" si="82"/>
        <v>0</v>
      </c>
      <c r="C92" s="83">
        <f t="shared" si="82"/>
        <v>0</v>
      </c>
      <c r="D92" s="83">
        <f t="shared" si="82"/>
        <v>0</v>
      </c>
      <c r="E92" s="83">
        <f t="shared" si="82"/>
        <v>0</v>
      </c>
      <c r="F92" s="83">
        <f t="shared" si="82"/>
        <v>0</v>
      </c>
      <c r="G92" s="83">
        <f t="shared" si="82"/>
        <v>0</v>
      </c>
      <c r="H92" s="83">
        <f t="shared" si="82"/>
        <v>0</v>
      </c>
    </row>
    <row r="93" spans="1:8">
      <c r="A93" s="87" t="s">
        <v>16</v>
      </c>
      <c r="B93" s="83">
        <f t="shared" si="82"/>
        <v>0</v>
      </c>
      <c r="C93" s="83">
        <f t="shared" si="82"/>
        <v>0</v>
      </c>
      <c r="D93" s="83">
        <f t="shared" si="82"/>
        <v>0</v>
      </c>
      <c r="E93" s="83">
        <f t="shared" si="82"/>
        <v>0</v>
      </c>
      <c r="F93" s="83">
        <f t="shared" si="82"/>
        <v>0</v>
      </c>
      <c r="G93" s="83">
        <f t="shared" si="82"/>
        <v>0</v>
      </c>
      <c r="H93" s="83">
        <f t="shared" si="82"/>
        <v>0</v>
      </c>
    </row>
    <row r="94" spans="1:8">
      <c r="A94" s="75" t="s">
        <v>40</v>
      </c>
      <c r="B94" s="83">
        <f t="shared" si="82"/>
        <v>0</v>
      </c>
      <c r="C94" s="83">
        <f t="shared" si="82"/>
        <v>0</v>
      </c>
      <c r="D94" s="83">
        <f t="shared" si="82"/>
        <v>0</v>
      </c>
      <c r="E94" s="83">
        <f t="shared" si="82"/>
        <v>0</v>
      </c>
      <c r="F94" s="83">
        <f t="shared" si="82"/>
        <v>0</v>
      </c>
      <c r="G94" s="83">
        <f t="shared" si="82"/>
        <v>0</v>
      </c>
      <c r="H94" s="83">
        <f t="shared" si="82"/>
        <v>0</v>
      </c>
    </row>
    <row r="95" spans="1:8">
      <c r="A95" s="92" t="s">
        <v>50</v>
      </c>
      <c r="B95" s="83">
        <f t="shared" si="82"/>
        <v>0</v>
      </c>
      <c r="C95" s="83">
        <f t="shared" si="82"/>
        <v>0</v>
      </c>
      <c r="D95" s="83">
        <f t="shared" si="82"/>
        <v>0</v>
      </c>
      <c r="E95" s="83">
        <f t="shared" si="82"/>
        <v>0</v>
      </c>
      <c r="F95" s="83">
        <f t="shared" si="82"/>
        <v>0</v>
      </c>
      <c r="G95" s="83">
        <f t="shared" si="82"/>
        <v>0</v>
      </c>
      <c r="H95" s="83">
        <f t="shared" si="82"/>
        <v>0</v>
      </c>
    </row>
    <row r="96" spans="1:8">
      <c r="A96" s="75" t="s">
        <v>44</v>
      </c>
      <c r="B96" s="83">
        <f t="shared" si="82"/>
        <v>0</v>
      </c>
      <c r="C96" s="83">
        <f t="shared" si="82"/>
        <v>0</v>
      </c>
      <c r="D96" s="83">
        <f t="shared" si="82"/>
        <v>0</v>
      </c>
      <c r="E96" s="83">
        <f t="shared" si="82"/>
        <v>0</v>
      </c>
      <c r="F96" s="83">
        <f t="shared" si="82"/>
        <v>0</v>
      </c>
      <c r="G96" s="83">
        <f t="shared" si="82"/>
        <v>0</v>
      </c>
      <c r="H96" s="83">
        <f t="shared" si="82"/>
        <v>0</v>
      </c>
    </row>
    <row r="97" spans="1:8">
      <c r="A97" s="75" t="s">
        <v>21</v>
      </c>
      <c r="B97" s="83">
        <f t="shared" si="82"/>
        <v>0</v>
      </c>
      <c r="C97" s="83">
        <f t="shared" si="82"/>
        <v>0</v>
      </c>
      <c r="D97" s="83">
        <f t="shared" si="82"/>
        <v>0</v>
      </c>
      <c r="E97" s="83">
        <f t="shared" si="82"/>
        <v>0</v>
      </c>
      <c r="F97" s="83">
        <f t="shared" si="82"/>
        <v>0</v>
      </c>
      <c r="G97" s="83">
        <f t="shared" si="82"/>
        <v>0</v>
      </c>
      <c r="H97" s="83">
        <f t="shared" si="82"/>
        <v>0</v>
      </c>
    </row>
    <row r="98" spans="1:8">
      <c r="A98" s="75" t="s">
        <v>51</v>
      </c>
      <c r="B98" s="83">
        <f t="shared" si="82"/>
        <v>0</v>
      </c>
      <c r="C98" s="83">
        <f t="shared" si="82"/>
        <v>0</v>
      </c>
      <c r="D98" s="83">
        <f t="shared" si="82"/>
        <v>0</v>
      </c>
      <c r="E98" s="83">
        <f t="shared" si="82"/>
        <v>0</v>
      </c>
      <c r="F98" s="83">
        <f t="shared" si="82"/>
        <v>0</v>
      </c>
      <c r="G98" s="83">
        <f t="shared" si="82"/>
        <v>0</v>
      </c>
      <c r="H98" s="83">
        <f t="shared" si="82"/>
        <v>0</v>
      </c>
    </row>
    <row r="99" spans="1:8">
      <c r="A99" s="75" t="s">
        <v>12</v>
      </c>
      <c r="B99" s="83" t="e">
        <f t="shared" ref="B99:H114" si="83">B25-B62</f>
        <v>#DIV/0!</v>
      </c>
      <c r="C99" s="83" t="e">
        <f t="shared" si="83"/>
        <v>#DIV/0!</v>
      </c>
      <c r="D99" s="83" t="e">
        <f t="shared" si="83"/>
        <v>#DIV/0!</v>
      </c>
      <c r="E99" s="83" t="e">
        <f t="shared" si="83"/>
        <v>#DIV/0!</v>
      </c>
      <c r="F99" s="83" t="e">
        <f t="shared" si="83"/>
        <v>#DIV/0!</v>
      </c>
      <c r="G99" s="83" t="e">
        <f t="shared" si="83"/>
        <v>#DIV/0!</v>
      </c>
      <c r="H99" s="83" t="e">
        <f t="shared" si="83"/>
        <v>#DIV/0!</v>
      </c>
    </row>
    <row r="100" spans="1:8">
      <c r="A100" s="75" t="s">
        <v>23</v>
      </c>
      <c r="B100" s="83">
        <f t="shared" si="83"/>
        <v>0</v>
      </c>
      <c r="C100" s="83">
        <f t="shared" si="83"/>
        <v>0</v>
      </c>
      <c r="D100" s="83">
        <f t="shared" si="83"/>
        <v>0</v>
      </c>
      <c r="E100" s="83">
        <f t="shared" si="83"/>
        <v>0</v>
      </c>
      <c r="F100" s="83">
        <f t="shared" si="83"/>
        <v>0</v>
      </c>
      <c r="G100" s="83">
        <f t="shared" si="83"/>
        <v>0</v>
      </c>
      <c r="H100" s="83">
        <f t="shared" si="83"/>
        <v>0</v>
      </c>
    </row>
    <row r="101" spans="1:8">
      <c r="A101" s="75" t="s">
        <v>45</v>
      </c>
      <c r="B101" s="83">
        <f t="shared" si="83"/>
        <v>0</v>
      </c>
      <c r="C101" s="83">
        <f t="shared" si="83"/>
        <v>0</v>
      </c>
      <c r="D101" s="83">
        <f t="shared" si="83"/>
        <v>0</v>
      </c>
      <c r="E101" s="83">
        <f t="shared" si="83"/>
        <v>0</v>
      </c>
      <c r="F101" s="83">
        <f t="shared" si="83"/>
        <v>0</v>
      </c>
      <c r="G101" s="83">
        <f t="shared" si="83"/>
        <v>0</v>
      </c>
      <c r="H101" s="83">
        <f t="shared" si="83"/>
        <v>0</v>
      </c>
    </row>
    <row r="102" spans="1:8">
      <c r="A102" s="75" t="s">
        <v>12</v>
      </c>
      <c r="B102" s="83">
        <f t="shared" si="83"/>
        <v>0</v>
      </c>
      <c r="C102" s="83">
        <f t="shared" si="83"/>
        <v>0</v>
      </c>
      <c r="D102" s="83">
        <f t="shared" si="83"/>
        <v>0</v>
      </c>
      <c r="E102" s="83">
        <f t="shared" si="83"/>
        <v>0</v>
      </c>
      <c r="F102" s="83">
        <f t="shared" si="83"/>
        <v>0</v>
      </c>
      <c r="G102" s="83">
        <f t="shared" si="83"/>
        <v>0</v>
      </c>
      <c r="H102" s="83">
        <f t="shared" si="83"/>
        <v>0</v>
      </c>
    </row>
    <row r="103" spans="1:8">
      <c r="A103" s="75" t="s">
        <v>25</v>
      </c>
      <c r="B103" s="83">
        <f t="shared" si="83"/>
        <v>0</v>
      </c>
      <c r="C103" s="83">
        <f t="shared" si="83"/>
        <v>0</v>
      </c>
      <c r="D103" s="83">
        <f t="shared" si="83"/>
        <v>0</v>
      </c>
      <c r="E103" s="83">
        <f t="shared" si="83"/>
        <v>0</v>
      </c>
      <c r="F103" s="83">
        <f t="shared" si="83"/>
        <v>0</v>
      </c>
      <c r="G103" s="83">
        <f t="shared" si="83"/>
        <v>0</v>
      </c>
      <c r="H103" s="83">
        <f t="shared" si="83"/>
        <v>0</v>
      </c>
    </row>
    <row r="104" spans="1:8">
      <c r="A104" s="75" t="s">
        <v>46</v>
      </c>
      <c r="B104" s="83">
        <f t="shared" si="83"/>
        <v>0</v>
      </c>
      <c r="C104" s="83">
        <f t="shared" si="83"/>
        <v>0</v>
      </c>
      <c r="D104" s="83">
        <f t="shared" si="83"/>
        <v>0</v>
      </c>
      <c r="E104" s="83">
        <f t="shared" si="83"/>
        <v>0</v>
      </c>
      <c r="F104" s="83">
        <f t="shared" si="83"/>
        <v>0</v>
      </c>
      <c r="G104" s="83">
        <f t="shared" si="83"/>
        <v>0</v>
      </c>
      <c r="H104" s="83">
        <f t="shared" si="83"/>
        <v>0</v>
      </c>
    </row>
    <row r="105" spans="1:8">
      <c r="A105" s="75" t="s">
        <v>12</v>
      </c>
      <c r="B105" s="83">
        <f t="shared" si="83"/>
        <v>0</v>
      </c>
      <c r="C105" s="83">
        <f t="shared" si="83"/>
        <v>0</v>
      </c>
      <c r="D105" s="83">
        <f t="shared" si="83"/>
        <v>0</v>
      </c>
      <c r="E105" s="83">
        <f t="shared" si="83"/>
        <v>0</v>
      </c>
      <c r="F105" s="83">
        <f t="shared" si="83"/>
        <v>0</v>
      </c>
      <c r="G105" s="83">
        <f t="shared" si="83"/>
        <v>0</v>
      </c>
      <c r="H105" s="83">
        <f t="shared" si="83"/>
        <v>0</v>
      </c>
    </row>
    <row r="106" spans="1:8">
      <c r="A106" s="75" t="s">
        <v>27</v>
      </c>
      <c r="B106" s="83">
        <f t="shared" si="83"/>
        <v>0</v>
      </c>
      <c r="C106" s="83">
        <f t="shared" si="83"/>
        <v>0</v>
      </c>
      <c r="D106" s="83">
        <f t="shared" si="83"/>
        <v>0</v>
      </c>
      <c r="E106" s="83">
        <f t="shared" si="83"/>
        <v>0</v>
      </c>
      <c r="F106" s="83">
        <f t="shared" si="83"/>
        <v>0</v>
      </c>
      <c r="G106" s="83">
        <f t="shared" si="83"/>
        <v>0</v>
      </c>
      <c r="H106" s="83">
        <f t="shared" si="83"/>
        <v>0</v>
      </c>
    </row>
    <row r="107" spans="1:8">
      <c r="A107" s="75" t="s">
        <v>47</v>
      </c>
      <c r="B107" s="83">
        <f t="shared" si="83"/>
        <v>0</v>
      </c>
      <c r="C107" s="83">
        <f t="shared" si="83"/>
        <v>0</v>
      </c>
      <c r="D107" s="83">
        <f t="shared" si="83"/>
        <v>0</v>
      </c>
      <c r="E107" s="83">
        <f t="shared" si="83"/>
        <v>0</v>
      </c>
      <c r="F107" s="83">
        <f t="shared" si="83"/>
        <v>0</v>
      </c>
      <c r="G107" s="83">
        <f t="shared" si="83"/>
        <v>0</v>
      </c>
      <c r="H107" s="83">
        <f t="shared" si="83"/>
        <v>0</v>
      </c>
    </row>
    <row r="108" spans="1:8">
      <c r="A108" s="75" t="s">
        <v>12</v>
      </c>
      <c r="B108" s="83">
        <f t="shared" si="83"/>
        <v>0</v>
      </c>
      <c r="C108" s="83">
        <f t="shared" si="83"/>
        <v>0</v>
      </c>
      <c r="D108" s="83">
        <f t="shared" si="83"/>
        <v>0</v>
      </c>
      <c r="E108" s="83">
        <f t="shared" si="83"/>
        <v>0</v>
      </c>
      <c r="F108" s="83">
        <f t="shared" si="83"/>
        <v>0</v>
      </c>
      <c r="G108" s="83">
        <f t="shared" si="83"/>
        <v>0</v>
      </c>
      <c r="H108" s="83">
        <f t="shared" si="83"/>
        <v>0</v>
      </c>
    </row>
    <row r="109" spans="1:8">
      <c r="A109" s="75" t="s">
        <v>29</v>
      </c>
      <c r="B109" s="83">
        <f t="shared" si="83"/>
        <v>0</v>
      </c>
      <c r="C109" s="83">
        <f t="shared" si="83"/>
        <v>0</v>
      </c>
      <c r="D109" s="83">
        <f t="shared" si="83"/>
        <v>0</v>
      </c>
      <c r="E109" s="83">
        <f t="shared" si="83"/>
        <v>0</v>
      </c>
      <c r="F109" s="83">
        <f t="shared" si="83"/>
        <v>0</v>
      </c>
      <c r="G109" s="83">
        <f t="shared" si="83"/>
        <v>0</v>
      </c>
      <c r="H109" s="83">
        <f t="shared" si="83"/>
        <v>0</v>
      </c>
    </row>
    <row r="110" spans="1:8">
      <c r="A110" s="75" t="s">
        <v>48</v>
      </c>
      <c r="B110" s="83">
        <f t="shared" si="83"/>
        <v>0</v>
      </c>
      <c r="C110" s="83">
        <f t="shared" si="83"/>
        <v>0</v>
      </c>
      <c r="D110" s="83">
        <f t="shared" si="83"/>
        <v>0</v>
      </c>
      <c r="E110" s="83">
        <f t="shared" si="83"/>
        <v>0</v>
      </c>
      <c r="F110" s="83">
        <f t="shared" si="83"/>
        <v>0</v>
      </c>
      <c r="G110" s="83">
        <f t="shared" si="83"/>
        <v>0</v>
      </c>
      <c r="H110" s="83">
        <f t="shared" si="83"/>
        <v>0</v>
      </c>
    </row>
    <row r="111" spans="1:8">
      <c r="A111" s="75" t="s">
        <v>12</v>
      </c>
      <c r="B111" s="83">
        <f t="shared" si="83"/>
        <v>0</v>
      </c>
      <c r="C111" s="83">
        <f t="shared" si="83"/>
        <v>0</v>
      </c>
      <c r="D111" s="83">
        <f t="shared" si="83"/>
        <v>0</v>
      </c>
      <c r="E111" s="83">
        <f t="shared" si="83"/>
        <v>0</v>
      </c>
      <c r="F111" s="83">
        <f t="shared" si="83"/>
        <v>0</v>
      </c>
      <c r="G111" s="83">
        <f t="shared" si="83"/>
        <v>0</v>
      </c>
      <c r="H111" s="83">
        <f t="shared" si="83"/>
        <v>0</v>
      </c>
    </row>
    <row r="112" spans="1:8">
      <c r="A112" s="75" t="s">
        <v>31</v>
      </c>
      <c r="B112" s="83">
        <f t="shared" si="83"/>
        <v>0</v>
      </c>
      <c r="C112" s="83">
        <f t="shared" si="83"/>
        <v>0</v>
      </c>
      <c r="D112" s="83">
        <f t="shared" si="83"/>
        <v>0</v>
      </c>
      <c r="E112" s="83">
        <f t="shared" si="83"/>
        <v>0</v>
      </c>
      <c r="F112" s="83">
        <f t="shared" si="83"/>
        <v>0</v>
      </c>
      <c r="G112" s="83">
        <f t="shared" si="83"/>
        <v>0</v>
      </c>
      <c r="H112" s="83">
        <f t="shared" si="83"/>
        <v>0</v>
      </c>
    </row>
    <row r="113" spans="1:8">
      <c r="A113" s="75" t="s">
        <v>52</v>
      </c>
      <c r="B113" s="83">
        <f t="shared" si="83"/>
        <v>0</v>
      </c>
      <c r="C113" s="83">
        <f t="shared" si="83"/>
        <v>0</v>
      </c>
      <c r="D113" s="83">
        <f t="shared" si="83"/>
        <v>0</v>
      </c>
      <c r="E113" s="83">
        <f t="shared" si="83"/>
        <v>0</v>
      </c>
      <c r="F113" s="83">
        <f t="shared" si="83"/>
        <v>0</v>
      </c>
      <c r="G113" s="83">
        <f t="shared" si="83"/>
        <v>0</v>
      </c>
      <c r="H113" s="83">
        <f t="shared" si="83"/>
        <v>0</v>
      </c>
    </row>
    <row r="114" spans="1:8">
      <c r="A114" s="75" t="s">
        <v>12</v>
      </c>
      <c r="B114" s="83">
        <f t="shared" si="83"/>
        <v>0</v>
      </c>
      <c r="C114" s="83">
        <f t="shared" si="83"/>
        <v>0</v>
      </c>
      <c r="D114" s="83">
        <f t="shared" si="83"/>
        <v>0</v>
      </c>
      <c r="E114" s="83">
        <f t="shared" si="83"/>
        <v>0</v>
      </c>
      <c r="F114" s="83">
        <f t="shared" si="83"/>
        <v>0</v>
      </c>
      <c r="G114" s="83">
        <f t="shared" si="83"/>
        <v>0</v>
      </c>
      <c r="H114" s="83">
        <f t="shared" si="83"/>
        <v>0</v>
      </c>
    </row>
  </sheetData>
  <mergeCells count="16">
    <mergeCell ref="R19:Y19"/>
    <mergeCell ref="AA19:AH19"/>
    <mergeCell ref="AJ19:AQ19"/>
    <mergeCell ref="R8:Y8"/>
    <mergeCell ref="AA8:AH8"/>
    <mergeCell ref="AJ8:AQ8"/>
    <mergeCell ref="R12:Y12"/>
    <mergeCell ref="AA12:AH12"/>
    <mergeCell ref="AJ12:AQ12"/>
    <mergeCell ref="A19:H19"/>
    <mergeCell ref="J19:Q19"/>
    <mergeCell ref="A4:H4"/>
    <mergeCell ref="A8:H8"/>
    <mergeCell ref="J8:Q8"/>
    <mergeCell ref="A12:H12"/>
    <mergeCell ref="J12:Q12"/>
  </mergeCells>
  <phoneticPr fontId="17" type="noConversion"/>
  <pageMargins left="0.17" right="0.16" top="0.31" bottom="0.34" header="0.21" footer="0.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9"/>
  <dimension ref="A1:AQ114"/>
  <sheetViews>
    <sheetView zoomScale="70" zoomScaleNormal="70" workbookViewId="0">
      <selection activeCell="A9" sqref="A9:AQ40"/>
    </sheetView>
  </sheetViews>
  <sheetFormatPr defaultRowHeight="13.2"/>
  <cols>
    <col min="1" max="1" width="15.33203125" customWidth="1"/>
    <col min="2" max="2" width="7.109375" customWidth="1"/>
    <col min="3" max="3" width="7.88671875" customWidth="1"/>
    <col min="5" max="5" width="6.88671875" customWidth="1"/>
    <col min="6" max="6" width="7.109375" customWidth="1"/>
    <col min="7" max="7" width="8.109375" customWidth="1"/>
    <col min="8" max="8" width="7.33203125" customWidth="1"/>
    <col min="9" max="9" width="5.33203125" customWidth="1"/>
    <col min="10" max="10" width="14.33203125" customWidth="1"/>
    <col min="11" max="11" width="7.109375" customWidth="1"/>
    <col min="12" max="12" width="8.109375" customWidth="1"/>
    <col min="14" max="14" width="6.6640625" customWidth="1"/>
    <col min="15" max="15" width="7.6640625" customWidth="1"/>
    <col min="16" max="16" width="8" customWidth="1"/>
    <col min="17" max="17" width="8.33203125" customWidth="1"/>
    <col min="18" max="18" width="14.33203125" customWidth="1"/>
    <col min="19" max="19" width="7.109375" customWidth="1"/>
    <col min="21" max="21" width="8.5546875" customWidth="1"/>
    <col min="22" max="22" width="7" customWidth="1"/>
    <col min="23" max="23" width="7.6640625" customWidth="1"/>
    <col min="24" max="24" width="7.88671875" customWidth="1"/>
    <col min="25" max="25" width="8.33203125" customWidth="1"/>
    <col min="26" max="26" width="9.33203125" customWidth="1"/>
    <col min="27" max="27" width="7.33203125" customWidth="1"/>
    <col min="28" max="28" width="7.88671875" customWidth="1"/>
    <col min="30" max="30" width="7" customWidth="1"/>
    <col min="31" max="31" width="7.6640625" customWidth="1"/>
    <col min="32" max="32" width="7.88671875" customWidth="1"/>
    <col min="33" max="33" width="7.33203125" customWidth="1"/>
    <col min="35" max="35" width="10.6640625" customWidth="1"/>
  </cols>
  <sheetData>
    <row r="1" spans="1:43">
      <c r="E1" t="s">
        <v>53</v>
      </c>
    </row>
    <row r="2" spans="1:43" ht="15.6">
      <c r="A2" s="37"/>
      <c r="B2" s="37"/>
      <c r="C2" s="37"/>
      <c r="D2" s="37"/>
      <c r="E2" s="37" t="s">
        <v>54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 t="s">
        <v>33</v>
      </c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</row>
    <row r="3" spans="1:43" ht="15.6">
      <c r="A3" s="12"/>
      <c r="B3" s="12"/>
      <c r="C3" s="12"/>
      <c r="D3" s="12"/>
      <c r="E3" s="12"/>
      <c r="F3" s="37" t="s">
        <v>104</v>
      </c>
      <c r="G3" s="12"/>
      <c r="H3" s="39"/>
      <c r="I3" s="429"/>
      <c r="J3" s="12" t="s">
        <v>71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3" ht="32.25" customHeight="1">
      <c r="A4" s="494" t="s">
        <v>124</v>
      </c>
      <c r="B4" s="494"/>
      <c r="C4" s="494"/>
      <c r="D4" s="494"/>
      <c r="E4" s="494"/>
      <c r="F4" s="494"/>
      <c r="G4" s="494"/>
      <c r="H4" s="494"/>
      <c r="I4" s="40"/>
      <c r="J4" s="40"/>
      <c r="K4" s="12"/>
      <c r="L4" s="12"/>
      <c r="M4" s="12"/>
      <c r="N4" s="12"/>
      <c r="O4" s="12"/>
      <c r="P4" s="12"/>
      <c r="Q4" s="12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</row>
    <row r="5" spans="1:43" ht="15.6">
      <c r="A5" s="13" t="s">
        <v>35</v>
      </c>
      <c r="B5" s="1"/>
      <c r="C5" s="1"/>
      <c r="D5" s="1"/>
      <c r="F5" s="10"/>
      <c r="G5" s="533" t="s">
        <v>105</v>
      </c>
      <c r="H5" s="533"/>
      <c r="J5" s="2" t="s">
        <v>36</v>
      </c>
      <c r="O5" s="2"/>
      <c r="P5" s="115"/>
      <c r="R5" s="13" t="s">
        <v>37</v>
      </c>
      <c r="W5" s="13"/>
      <c r="X5" s="13"/>
      <c r="AA5" s="34" t="s">
        <v>38</v>
      </c>
      <c r="AB5" s="34"/>
      <c r="AC5" s="34"/>
      <c r="AD5" s="34"/>
      <c r="AE5" s="34"/>
      <c r="AF5" s="34"/>
      <c r="AG5" s="34"/>
      <c r="AJ5" s="2" t="s">
        <v>58</v>
      </c>
      <c r="AO5" s="2"/>
    </row>
    <row r="6" spans="1:43">
      <c r="A6" s="3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11"/>
      <c r="J6" s="31" t="s">
        <v>0</v>
      </c>
      <c r="K6" s="31" t="s">
        <v>1</v>
      </c>
      <c r="L6" s="31" t="s">
        <v>2</v>
      </c>
      <c r="M6" s="31" t="s">
        <v>3</v>
      </c>
      <c r="N6" s="31" t="s">
        <v>4</v>
      </c>
      <c r="O6" s="31" t="s">
        <v>5</v>
      </c>
      <c r="P6" s="31" t="s">
        <v>6</v>
      </c>
      <c r="Q6" s="31" t="s">
        <v>7</v>
      </c>
      <c r="R6" s="31" t="s">
        <v>0</v>
      </c>
      <c r="S6" s="31" t="s">
        <v>1</v>
      </c>
      <c r="T6" s="31" t="s">
        <v>2</v>
      </c>
      <c r="U6" s="31" t="s">
        <v>3</v>
      </c>
      <c r="V6" s="31" t="s">
        <v>4</v>
      </c>
      <c r="W6" s="31" t="s">
        <v>5</v>
      </c>
      <c r="X6" s="31" t="s">
        <v>6</v>
      </c>
      <c r="Y6" s="31" t="s">
        <v>7</v>
      </c>
      <c r="Z6" s="11"/>
      <c r="AA6" s="31" t="s">
        <v>0</v>
      </c>
      <c r="AB6" s="31" t="s">
        <v>1</v>
      </c>
      <c r="AC6" s="31" t="s">
        <v>2</v>
      </c>
      <c r="AD6" s="31" t="s">
        <v>3</v>
      </c>
      <c r="AE6" s="31" t="s">
        <v>4</v>
      </c>
      <c r="AF6" s="31" t="s">
        <v>5</v>
      </c>
      <c r="AG6" s="31" t="s">
        <v>6</v>
      </c>
      <c r="AH6" s="31" t="s">
        <v>7</v>
      </c>
      <c r="AI6" s="11"/>
      <c r="AJ6" s="31" t="s">
        <v>0</v>
      </c>
      <c r="AK6" s="35" t="s">
        <v>1</v>
      </c>
      <c r="AL6" s="31" t="s">
        <v>2</v>
      </c>
      <c r="AM6" s="31" t="s">
        <v>3</v>
      </c>
      <c r="AN6" s="31" t="s">
        <v>4</v>
      </c>
      <c r="AO6" s="31" t="s">
        <v>5</v>
      </c>
      <c r="AP6" s="31" t="s">
        <v>6</v>
      </c>
      <c r="AQ6" s="31" t="s">
        <v>7</v>
      </c>
    </row>
    <row r="7" spans="1:43">
      <c r="A7" s="5"/>
      <c r="B7" s="32" t="s">
        <v>8</v>
      </c>
      <c r="C7" s="32" t="s">
        <v>9</v>
      </c>
      <c r="D7" s="32" t="s">
        <v>10</v>
      </c>
      <c r="E7" s="32" t="s">
        <v>9</v>
      </c>
      <c r="F7" s="32" t="s">
        <v>9</v>
      </c>
      <c r="G7" s="32" t="s">
        <v>9</v>
      </c>
      <c r="H7" s="32" t="s">
        <v>9</v>
      </c>
      <c r="I7" s="11"/>
      <c r="J7" s="32"/>
      <c r="K7" s="32" t="s">
        <v>8</v>
      </c>
      <c r="L7" s="32" t="s">
        <v>9</v>
      </c>
      <c r="M7" s="32" t="s">
        <v>10</v>
      </c>
      <c r="N7" s="32" t="s">
        <v>9</v>
      </c>
      <c r="O7" s="32" t="s">
        <v>9</v>
      </c>
      <c r="P7" s="32" t="s">
        <v>9</v>
      </c>
      <c r="Q7" s="32" t="s">
        <v>9</v>
      </c>
      <c r="R7" s="32"/>
      <c r="S7" s="32" t="s">
        <v>8</v>
      </c>
      <c r="T7" s="32" t="s">
        <v>9</v>
      </c>
      <c r="U7" s="32" t="s">
        <v>10</v>
      </c>
      <c r="V7" s="32" t="s">
        <v>9</v>
      </c>
      <c r="W7" s="32" t="s">
        <v>9</v>
      </c>
      <c r="X7" s="32" t="s">
        <v>9</v>
      </c>
      <c r="Y7" s="32" t="s">
        <v>9</v>
      </c>
      <c r="Z7" s="11"/>
      <c r="AA7" s="32"/>
      <c r="AB7" s="32" t="s">
        <v>8</v>
      </c>
      <c r="AC7" s="32" t="s">
        <v>9</v>
      </c>
      <c r="AD7" s="32" t="s">
        <v>10</v>
      </c>
      <c r="AE7" s="32" t="s">
        <v>9</v>
      </c>
      <c r="AF7" s="32" t="s">
        <v>9</v>
      </c>
      <c r="AG7" s="32" t="s">
        <v>9</v>
      </c>
      <c r="AH7" s="32" t="s">
        <v>9</v>
      </c>
      <c r="AI7" s="11"/>
      <c r="AJ7" s="32"/>
      <c r="AK7" s="41" t="s">
        <v>8</v>
      </c>
      <c r="AL7" s="32" t="s">
        <v>9</v>
      </c>
      <c r="AM7" s="32" t="s">
        <v>10</v>
      </c>
      <c r="AN7" s="32" t="s">
        <v>9</v>
      </c>
      <c r="AO7" s="32" t="s">
        <v>9</v>
      </c>
      <c r="AP7" s="32" t="s">
        <v>9</v>
      </c>
      <c r="AQ7" s="32" t="s">
        <v>9</v>
      </c>
    </row>
    <row r="8" spans="1:43">
      <c r="A8" s="469" t="s">
        <v>17</v>
      </c>
      <c r="B8" s="470"/>
      <c r="C8" s="470"/>
      <c r="D8" s="470"/>
      <c r="E8" s="470"/>
      <c r="F8" s="470"/>
      <c r="G8" s="470"/>
      <c r="H8" s="471"/>
      <c r="I8" s="115"/>
      <c r="J8" s="469" t="s">
        <v>17</v>
      </c>
      <c r="K8" s="470"/>
      <c r="L8" s="470"/>
      <c r="M8" s="470"/>
      <c r="N8" s="470"/>
      <c r="O8" s="470"/>
      <c r="P8" s="470"/>
      <c r="Q8" s="471"/>
      <c r="R8" s="469" t="s">
        <v>17</v>
      </c>
      <c r="S8" s="470"/>
      <c r="T8" s="470"/>
      <c r="U8" s="470"/>
      <c r="V8" s="470"/>
      <c r="W8" s="470"/>
      <c r="X8" s="470"/>
      <c r="Y8" s="471"/>
      <c r="Z8" s="115"/>
      <c r="AA8" s="469" t="s">
        <v>17</v>
      </c>
      <c r="AB8" s="470"/>
      <c r="AC8" s="470"/>
      <c r="AD8" s="470"/>
      <c r="AE8" s="470"/>
      <c r="AF8" s="470"/>
      <c r="AG8" s="470"/>
      <c r="AH8" s="471"/>
      <c r="AI8" s="115"/>
      <c r="AJ8" s="469" t="s">
        <v>17</v>
      </c>
      <c r="AK8" s="470"/>
      <c r="AL8" s="470"/>
      <c r="AM8" s="470"/>
      <c r="AN8" s="470"/>
      <c r="AO8" s="470"/>
      <c r="AP8" s="470"/>
      <c r="AQ8" s="471"/>
    </row>
    <row r="9" spans="1:43">
      <c r="A9" s="33" t="s">
        <v>18</v>
      </c>
      <c r="B9" s="42">
        <f>B13+B20</f>
        <v>909.23</v>
      </c>
      <c r="C9" s="36">
        <f t="shared" ref="C9:H10" si="0">C13+C20</f>
        <v>44993</v>
      </c>
      <c r="D9" s="36">
        <f t="shared" si="0"/>
        <v>37983</v>
      </c>
      <c r="E9" s="36">
        <f t="shared" si="0"/>
        <v>5300</v>
      </c>
      <c r="F9" s="36">
        <f t="shared" si="0"/>
        <v>6770</v>
      </c>
      <c r="G9" s="36">
        <f t="shared" si="0"/>
        <v>918</v>
      </c>
      <c r="H9" s="36">
        <f t="shared" si="0"/>
        <v>24995</v>
      </c>
      <c r="I9" s="115"/>
      <c r="J9" s="33" t="s">
        <v>18</v>
      </c>
      <c r="K9" s="42">
        <f>K13+K20</f>
        <v>143.5</v>
      </c>
      <c r="L9" s="36">
        <f t="shared" ref="L9:Q10" si="1">L13+L20</f>
        <v>4945</v>
      </c>
      <c r="M9" s="36">
        <f t="shared" si="1"/>
        <v>3897</v>
      </c>
      <c r="N9" s="36">
        <f t="shared" si="1"/>
        <v>347</v>
      </c>
      <c r="O9" s="36">
        <f t="shared" si="1"/>
        <v>1251</v>
      </c>
      <c r="P9" s="36">
        <f t="shared" si="1"/>
        <v>127</v>
      </c>
      <c r="Q9" s="36">
        <f t="shared" si="1"/>
        <v>2172</v>
      </c>
      <c r="R9" s="33" t="s">
        <v>18</v>
      </c>
      <c r="S9" s="42">
        <f>S13+S20</f>
        <v>697.13</v>
      </c>
      <c r="T9" s="36">
        <f t="shared" ref="T9:Y10" si="2">T13+T20</f>
        <v>39638</v>
      </c>
      <c r="U9" s="36">
        <f t="shared" si="2"/>
        <v>33901</v>
      </c>
      <c r="V9" s="36">
        <f t="shared" si="2"/>
        <v>4953</v>
      </c>
      <c r="W9" s="36">
        <f t="shared" si="2"/>
        <v>5519</v>
      </c>
      <c r="X9" s="36">
        <f t="shared" si="2"/>
        <v>791</v>
      </c>
      <c r="Y9" s="36">
        <f t="shared" si="2"/>
        <v>22638</v>
      </c>
      <c r="Z9" s="115"/>
      <c r="AA9" s="33" t="s">
        <v>18</v>
      </c>
      <c r="AB9" s="42">
        <f>AB13+AB20</f>
        <v>234.29999999999998</v>
      </c>
      <c r="AC9" s="36">
        <f t="shared" ref="AC9:AH10" si="3">AC13+AC20</f>
        <v>15962</v>
      </c>
      <c r="AD9" s="36">
        <f t="shared" si="3"/>
        <v>21641</v>
      </c>
      <c r="AE9" s="36">
        <f t="shared" si="3"/>
        <v>4220</v>
      </c>
      <c r="AF9" s="36">
        <f t="shared" si="3"/>
        <v>9233</v>
      </c>
      <c r="AG9" s="36">
        <f t="shared" si="3"/>
        <v>205</v>
      </c>
      <c r="AH9" s="36">
        <f t="shared" si="3"/>
        <v>7983</v>
      </c>
      <c r="AI9" s="115"/>
      <c r="AJ9" s="33" t="s">
        <v>18</v>
      </c>
      <c r="AK9" s="42">
        <f>AK13+AK20</f>
        <v>68.599999999999994</v>
      </c>
      <c r="AL9" s="36">
        <f t="shared" ref="AL9:AQ10" si="4">AL13+AL20</f>
        <v>410</v>
      </c>
      <c r="AM9" s="36">
        <f t="shared" si="4"/>
        <v>185</v>
      </c>
      <c r="AN9" s="36">
        <f t="shared" si="4"/>
        <v>0</v>
      </c>
      <c r="AO9" s="36">
        <f t="shared" si="4"/>
        <v>0</v>
      </c>
      <c r="AP9" s="36">
        <f t="shared" si="4"/>
        <v>0</v>
      </c>
      <c r="AQ9" s="36">
        <f t="shared" si="4"/>
        <v>185</v>
      </c>
    </row>
    <row r="10" spans="1:43">
      <c r="A10" s="7" t="s">
        <v>19</v>
      </c>
      <c r="B10" s="177">
        <f>B14+B21</f>
        <v>670.00000000000011</v>
      </c>
      <c r="C10" s="36">
        <f>C14+C21</f>
        <v>41730</v>
      </c>
      <c r="D10" s="36">
        <f t="shared" si="0"/>
        <v>38442</v>
      </c>
      <c r="E10" s="36">
        <f t="shared" si="0"/>
        <v>11752</v>
      </c>
      <c r="F10" s="36">
        <f t="shared" si="0"/>
        <v>2627</v>
      </c>
      <c r="G10" s="36">
        <f t="shared" si="0"/>
        <v>540</v>
      </c>
      <c r="H10" s="36">
        <f t="shared" si="0"/>
        <v>23523</v>
      </c>
      <c r="I10" s="115"/>
      <c r="J10" s="7" t="s">
        <v>19</v>
      </c>
      <c r="K10" s="177">
        <f>K14+K21</f>
        <v>83.6</v>
      </c>
      <c r="L10" s="36">
        <f t="shared" si="1"/>
        <v>5070</v>
      </c>
      <c r="M10" s="36">
        <f t="shared" si="1"/>
        <v>4667</v>
      </c>
      <c r="N10" s="36">
        <f t="shared" si="1"/>
        <v>1078</v>
      </c>
      <c r="O10" s="36">
        <f t="shared" si="1"/>
        <v>469</v>
      </c>
      <c r="P10" s="36">
        <f t="shared" si="1"/>
        <v>108</v>
      </c>
      <c r="Q10" s="36">
        <f t="shared" si="1"/>
        <v>3012</v>
      </c>
      <c r="R10" s="7" t="s">
        <v>19</v>
      </c>
      <c r="S10" s="177">
        <f>S14+S21</f>
        <v>586.40000000000009</v>
      </c>
      <c r="T10" s="36">
        <f t="shared" si="2"/>
        <v>36660</v>
      </c>
      <c r="U10" s="36">
        <f t="shared" si="2"/>
        <v>33775</v>
      </c>
      <c r="V10" s="36">
        <f t="shared" si="2"/>
        <v>10674</v>
      </c>
      <c r="W10" s="36">
        <f t="shared" si="2"/>
        <v>2158</v>
      </c>
      <c r="X10" s="36">
        <f t="shared" si="2"/>
        <v>432</v>
      </c>
      <c r="Y10" s="36">
        <f t="shared" si="2"/>
        <v>20511</v>
      </c>
      <c r="Z10" s="115"/>
      <c r="AA10" s="7" t="s">
        <v>19</v>
      </c>
      <c r="AB10" s="177">
        <f>AB14+AB21</f>
        <v>114.3</v>
      </c>
      <c r="AC10" s="36">
        <f t="shared" si="3"/>
        <v>8460</v>
      </c>
      <c r="AD10" s="36">
        <f t="shared" si="3"/>
        <v>7448</v>
      </c>
      <c r="AE10" s="36">
        <f t="shared" si="3"/>
        <v>1862</v>
      </c>
      <c r="AF10" s="36">
        <f t="shared" si="3"/>
        <v>201</v>
      </c>
      <c r="AG10" s="36">
        <f t="shared" si="3"/>
        <v>12</v>
      </c>
      <c r="AH10" s="36">
        <f t="shared" si="3"/>
        <v>5373</v>
      </c>
      <c r="AI10" s="115"/>
      <c r="AJ10" s="7" t="s">
        <v>19</v>
      </c>
      <c r="AK10" s="42">
        <f>AK14+AK21</f>
        <v>0</v>
      </c>
      <c r="AL10" s="36">
        <f t="shared" si="4"/>
        <v>0</v>
      </c>
      <c r="AM10" s="36">
        <f t="shared" si="4"/>
        <v>0</v>
      </c>
      <c r="AN10" s="36">
        <f t="shared" si="4"/>
        <v>0</v>
      </c>
      <c r="AO10" s="36">
        <f t="shared" si="4"/>
        <v>0</v>
      </c>
      <c r="AP10" s="36">
        <f t="shared" si="4"/>
        <v>0</v>
      </c>
      <c r="AQ10" s="36">
        <f t="shared" si="4"/>
        <v>0</v>
      </c>
    </row>
    <row r="11" spans="1:43">
      <c r="A11" s="33" t="s">
        <v>20</v>
      </c>
      <c r="B11" s="26">
        <f>B10/B9*100</f>
        <v>73.688725624979384</v>
      </c>
      <c r="C11" s="26">
        <f t="shared" ref="C11:H11" si="5">C10/C9*100</f>
        <v>92.747760762785319</v>
      </c>
      <c r="D11" s="26">
        <f t="shared" si="5"/>
        <v>101.20843535265777</v>
      </c>
      <c r="E11" s="26">
        <f t="shared" si="5"/>
        <v>221.7358490566038</v>
      </c>
      <c r="F11" s="26">
        <f t="shared" si="5"/>
        <v>38.80354505169867</v>
      </c>
      <c r="G11" s="26">
        <f t="shared" si="5"/>
        <v>58.82352941176471</v>
      </c>
      <c r="H11" s="26">
        <f t="shared" si="5"/>
        <v>94.110822164432889</v>
      </c>
      <c r="I11" s="115"/>
      <c r="J11" s="33" t="s">
        <v>20</v>
      </c>
      <c r="K11" s="26">
        <f>K10/K9*100</f>
        <v>58.257839721254356</v>
      </c>
      <c r="L11" s="26">
        <f t="shared" ref="L11:Q11" si="6">L10/L9*100</f>
        <v>102.5278058645096</v>
      </c>
      <c r="M11" s="26">
        <f t="shared" si="6"/>
        <v>119.7587888119066</v>
      </c>
      <c r="N11" s="26">
        <f t="shared" si="6"/>
        <v>310.6628242074928</v>
      </c>
      <c r="O11" s="26">
        <f t="shared" si="6"/>
        <v>37.490007993605118</v>
      </c>
      <c r="P11" s="26">
        <f t="shared" si="6"/>
        <v>85.039370078740163</v>
      </c>
      <c r="Q11" s="26">
        <f t="shared" si="6"/>
        <v>138.67403314917127</v>
      </c>
      <c r="R11" s="33" t="s">
        <v>20</v>
      </c>
      <c r="S11" s="26">
        <f>S10/S9*100</f>
        <v>84.116305423665622</v>
      </c>
      <c r="T11" s="26">
        <f t="shared" ref="T11:Y11" si="7">T10/T9*100</f>
        <v>92.487007417124971</v>
      </c>
      <c r="U11" s="26">
        <f t="shared" si="7"/>
        <v>99.628329547800959</v>
      </c>
      <c r="V11" s="26">
        <f t="shared" si="7"/>
        <v>215.50575408843127</v>
      </c>
      <c r="W11" s="26">
        <f t="shared" si="7"/>
        <v>39.101286464939299</v>
      </c>
      <c r="X11" s="26">
        <f t="shared" si="7"/>
        <v>54.614412136536025</v>
      </c>
      <c r="Y11" s="26">
        <f t="shared" si="7"/>
        <v>90.604293665518156</v>
      </c>
      <c r="Z11" s="115"/>
      <c r="AA11" s="33" t="s">
        <v>20</v>
      </c>
      <c r="AB11" s="26">
        <f>AB10/AB9*100</f>
        <v>48.783610755441742</v>
      </c>
      <c r="AC11" s="26">
        <f t="shared" ref="AC11:AH11" si="8">AC10/AC9*100</f>
        <v>53.000877083072297</v>
      </c>
      <c r="AD11" s="26">
        <f t="shared" si="8"/>
        <v>34.416154521510094</v>
      </c>
      <c r="AE11" s="26">
        <f t="shared" si="8"/>
        <v>44.123222748815166</v>
      </c>
      <c r="AF11" s="26">
        <f t="shared" si="8"/>
        <v>2.1769738979746562</v>
      </c>
      <c r="AG11" s="26">
        <f t="shared" si="8"/>
        <v>5.8536585365853666</v>
      </c>
      <c r="AH11" s="26">
        <f t="shared" si="8"/>
        <v>67.305524239007894</v>
      </c>
      <c r="AI11" s="115"/>
      <c r="AJ11" s="33" t="s">
        <v>20</v>
      </c>
      <c r="AK11" s="26">
        <f>AK10/AK9*100</f>
        <v>0</v>
      </c>
      <c r="AL11" s="26">
        <f t="shared" ref="AL11:AQ11" si="9">AL10/AL9*100</f>
        <v>0</v>
      </c>
      <c r="AM11" s="26">
        <f t="shared" si="9"/>
        <v>0</v>
      </c>
      <c r="AN11" s="26" t="e">
        <f t="shared" si="9"/>
        <v>#DIV/0!</v>
      </c>
      <c r="AO11" s="26" t="e">
        <f t="shared" si="9"/>
        <v>#DIV/0!</v>
      </c>
      <c r="AP11" s="26" t="e">
        <f t="shared" si="9"/>
        <v>#DIV/0!</v>
      </c>
      <c r="AQ11" s="26">
        <f t="shared" si="9"/>
        <v>0</v>
      </c>
    </row>
    <row r="12" spans="1:43">
      <c r="A12" s="461" t="s">
        <v>11</v>
      </c>
      <c r="B12" s="462"/>
      <c r="C12" s="462"/>
      <c r="D12" s="462"/>
      <c r="E12" s="462"/>
      <c r="F12" s="462"/>
      <c r="G12" s="462"/>
      <c r="H12" s="463"/>
      <c r="I12" s="201"/>
      <c r="J12" s="461" t="s">
        <v>11</v>
      </c>
      <c r="K12" s="462"/>
      <c r="L12" s="462"/>
      <c r="M12" s="462"/>
      <c r="N12" s="462"/>
      <c r="O12" s="462"/>
      <c r="P12" s="462"/>
      <c r="Q12" s="463"/>
      <c r="R12" s="461" t="s">
        <v>11</v>
      </c>
      <c r="S12" s="462"/>
      <c r="T12" s="462"/>
      <c r="U12" s="462"/>
      <c r="V12" s="462"/>
      <c r="W12" s="462"/>
      <c r="X12" s="462"/>
      <c r="Y12" s="463"/>
      <c r="Z12" s="201"/>
      <c r="AA12" s="461" t="s">
        <v>11</v>
      </c>
      <c r="AB12" s="462"/>
      <c r="AC12" s="462"/>
      <c r="AD12" s="462"/>
      <c r="AE12" s="462"/>
      <c r="AF12" s="462"/>
      <c r="AG12" s="462"/>
      <c r="AH12" s="463"/>
      <c r="AI12" s="201"/>
      <c r="AJ12" s="461" t="s">
        <v>11</v>
      </c>
      <c r="AK12" s="462"/>
      <c r="AL12" s="462"/>
      <c r="AM12" s="462"/>
      <c r="AN12" s="462"/>
      <c r="AO12" s="462"/>
      <c r="AP12" s="462"/>
      <c r="AQ12" s="463"/>
    </row>
    <row r="13" spans="1:43">
      <c r="A13" s="248" t="s">
        <v>18</v>
      </c>
      <c r="B13" s="6">
        <f>K13+S13+AK13</f>
        <v>0.6</v>
      </c>
      <c r="C13" s="6">
        <f>L13+T13+AL13</f>
        <v>3</v>
      </c>
      <c r="D13" s="6">
        <f>E13+F13+G13+H13</f>
        <v>2</v>
      </c>
      <c r="E13" s="6">
        <f t="shared" ref="E13:H14" si="10">N13+V13+AN13</f>
        <v>1</v>
      </c>
      <c r="F13" s="6">
        <f t="shared" si="10"/>
        <v>0</v>
      </c>
      <c r="G13" s="6">
        <f t="shared" si="10"/>
        <v>0</v>
      </c>
      <c r="H13" s="6">
        <f t="shared" si="10"/>
        <v>1</v>
      </c>
      <c r="I13" s="201"/>
      <c r="J13" s="248" t="s">
        <v>18</v>
      </c>
      <c r="K13" s="6">
        <v>0.6</v>
      </c>
      <c r="L13" s="6">
        <v>3</v>
      </c>
      <c r="M13" s="6">
        <f>N13+O13+P13+Q13</f>
        <v>2</v>
      </c>
      <c r="N13" s="6">
        <v>1</v>
      </c>
      <c r="O13" s="6"/>
      <c r="P13" s="6"/>
      <c r="Q13" s="6">
        <v>1</v>
      </c>
      <c r="R13" s="248" t="s">
        <v>18</v>
      </c>
      <c r="S13" s="6"/>
      <c r="T13" s="6"/>
      <c r="U13" s="6">
        <f>V13+W13+X13+Y13</f>
        <v>0</v>
      </c>
      <c r="V13" s="6"/>
      <c r="W13" s="6"/>
      <c r="X13" s="6"/>
      <c r="Y13" s="6"/>
      <c r="Z13" s="201"/>
      <c r="AA13" s="248" t="s">
        <v>18</v>
      </c>
      <c r="AB13" s="6">
        <v>1.2</v>
      </c>
      <c r="AC13" s="6">
        <v>88</v>
      </c>
      <c r="AD13" s="6">
        <f>AE13+AF13+AG13+AH13</f>
        <v>71</v>
      </c>
      <c r="AE13" s="6">
        <v>47</v>
      </c>
      <c r="AF13" s="6">
        <v>3</v>
      </c>
      <c r="AG13" s="6">
        <v>1</v>
      </c>
      <c r="AH13" s="6">
        <v>20</v>
      </c>
      <c r="AI13" s="201"/>
      <c r="AJ13" s="248" t="s">
        <v>18</v>
      </c>
      <c r="AK13" s="6"/>
      <c r="AL13" s="6"/>
      <c r="AM13" s="6">
        <f>AN13+AO13+AP13+AQ13</f>
        <v>0</v>
      </c>
      <c r="AN13" s="6"/>
      <c r="AO13" s="6"/>
      <c r="AP13" s="6"/>
      <c r="AQ13" s="6"/>
    </row>
    <row r="14" spans="1:43">
      <c r="A14" s="18" t="s">
        <v>19</v>
      </c>
      <c r="B14" s="6">
        <f>K14+S14+AK14</f>
        <v>0</v>
      </c>
      <c r="C14" s="6">
        <f>L14+T14+AL14</f>
        <v>0</v>
      </c>
      <c r="D14" s="6">
        <f>E14+F14+G14+H14</f>
        <v>0</v>
      </c>
      <c r="E14" s="6">
        <f t="shared" si="10"/>
        <v>0</v>
      </c>
      <c r="F14" s="6">
        <f t="shared" si="10"/>
        <v>0</v>
      </c>
      <c r="G14" s="6">
        <f t="shared" si="10"/>
        <v>0</v>
      </c>
      <c r="H14" s="6">
        <f t="shared" si="10"/>
        <v>0</v>
      </c>
      <c r="I14" s="201"/>
      <c r="J14" s="18" t="s">
        <v>19</v>
      </c>
      <c r="K14" s="6"/>
      <c r="L14" s="6"/>
      <c r="M14" s="6"/>
      <c r="N14" s="6"/>
      <c r="O14" s="6"/>
      <c r="P14" s="6"/>
      <c r="Q14" s="6"/>
      <c r="R14" s="18" t="s">
        <v>19</v>
      </c>
      <c r="S14" s="6"/>
      <c r="T14" s="6"/>
      <c r="U14" s="6"/>
      <c r="V14" s="6"/>
      <c r="W14" s="6"/>
      <c r="X14" s="6"/>
      <c r="Y14" s="6"/>
      <c r="Z14" s="201"/>
      <c r="AA14" s="18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201"/>
      <c r="AJ14" s="18" t="s">
        <v>19</v>
      </c>
      <c r="AK14" s="6"/>
      <c r="AL14" s="6"/>
      <c r="AM14" s="6">
        <f>AN14+AO14+AP14+AQ14</f>
        <v>0</v>
      </c>
      <c r="AN14" s="6"/>
      <c r="AO14" s="6"/>
      <c r="AP14" s="6"/>
      <c r="AQ14" s="6"/>
    </row>
    <row r="15" spans="1:43">
      <c r="A15" s="248" t="s">
        <v>20</v>
      </c>
      <c r="B15" s="26">
        <f>B14/B13*100</f>
        <v>0</v>
      </c>
      <c r="C15" s="26">
        <f t="shared" ref="C15:H15" si="11">C14/C13*100</f>
        <v>0</v>
      </c>
      <c r="D15" s="26">
        <f t="shared" si="11"/>
        <v>0</v>
      </c>
      <c r="E15" s="26">
        <f t="shared" si="11"/>
        <v>0</v>
      </c>
      <c r="F15" s="26" t="e">
        <f t="shared" si="11"/>
        <v>#DIV/0!</v>
      </c>
      <c r="G15" s="26" t="e">
        <f t="shared" si="11"/>
        <v>#DIV/0!</v>
      </c>
      <c r="H15" s="26">
        <f t="shared" si="11"/>
        <v>0</v>
      </c>
      <c r="I15" s="201"/>
      <c r="J15" s="248" t="s">
        <v>20</v>
      </c>
      <c r="K15" s="26">
        <f>K14/K13*100</f>
        <v>0</v>
      </c>
      <c r="L15" s="26">
        <f t="shared" ref="L15:Q15" si="12">L14/L13*100</f>
        <v>0</v>
      </c>
      <c r="M15" s="26">
        <f t="shared" si="12"/>
        <v>0</v>
      </c>
      <c r="N15" s="26">
        <f t="shared" si="12"/>
        <v>0</v>
      </c>
      <c r="O15" s="26" t="e">
        <f t="shared" si="12"/>
        <v>#DIV/0!</v>
      </c>
      <c r="P15" s="26" t="e">
        <f t="shared" si="12"/>
        <v>#DIV/0!</v>
      </c>
      <c r="Q15" s="26">
        <f t="shared" si="12"/>
        <v>0</v>
      </c>
      <c r="R15" s="248" t="s">
        <v>20</v>
      </c>
      <c r="S15" s="26" t="e">
        <f>S14/S13*100</f>
        <v>#DIV/0!</v>
      </c>
      <c r="T15" s="26" t="e">
        <f t="shared" ref="T15:Y15" si="13">T14/T13*100</f>
        <v>#DIV/0!</v>
      </c>
      <c r="U15" s="26" t="e">
        <f t="shared" si="13"/>
        <v>#DIV/0!</v>
      </c>
      <c r="V15" s="26" t="e">
        <f t="shared" si="13"/>
        <v>#DIV/0!</v>
      </c>
      <c r="W15" s="26" t="e">
        <f t="shared" si="13"/>
        <v>#DIV/0!</v>
      </c>
      <c r="X15" s="26" t="e">
        <f t="shared" si="13"/>
        <v>#DIV/0!</v>
      </c>
      <c r="Y15" s="26" t="e">
        <f t="shared" si="13"/>
        <v>#DIV/0!</v>
      </c>
      <c r="Z15" s="201"/>
      <c r="AA15" s="248" t="s">
        <v>20</v>
      </c>
      <c r="AB15" s="26">
        <f>AB14/AB13*100</f>
        <v>0</v>
      </c>
      <c r="AC15" s="26">
        <f t="shared" ref="AC15:AH15" si="14">AC14/AC13*100</f>
        <v>0</v>
      </c>
      <c r="AD15" s="26">
        <f t="shared" si="14"/>
        <v>0</v>
      </c>
      <c r="AE15" s="26">
        <f t="shared" si="14"/>
        <v>0</v>
      </c>
      <c r="AF15" s="26">
        <f t="shared" si="14"/>
        <v>0</v>
      </c>
      <c r="AG15" s="26">
        <f t="shared" si="14"/>
        <v>0</v>
      </c>
      <c r="AH15" s="26">
        <f t="shared" si="14"/>
        <v>0</v>
      </c>
      <c r="AI15" s="201"/>
      <c r="AJ15" s="248" t="s">
        <v>20</v>
      </c>
      <c r="AK15" s="26" t="e">
        <f>AK14/AK13*100</f>
        <v>#DIV/0!</v>
      </c>
      <c r="AL15" s="26" t="e">
        <f t="shared" ref="AL15:AQ15" si="15">AL14/AL13*100</f>
        <v>#DIV/0!</v>
      </c>
      <c r="AM15" s="26" t="e">
        <f t="shared" si="15"/>
        <v>#DIV/0!</v>
      </c>
      <c r="AN15" s="26" t="e">
        <f t="shared" si="15"/>
        <v>#DIV/0!</v>
      </c>
      <c r="AO15" s="26" t="e">
        <f t="shared" si="15"/>
        <v>#DIV/0!</v>
      </c>
      <c r="AP15" s="26" t="e">
        <f t="shared" si="15"/>
        <v>#DIV/0!</v>
      </c>
      <c r="AQ15" s="26" t="e">
        <f t="shared" si="15"/>
        <v>#DIV/0!</v>
      </c>
    </row>
    <row r="16" spans="1:43">
      <c r="A16" s="6" t="s">
        <v>13</v>
      </c>
      <c r="B16" s="6"/>
      <c r="C16" s="6"/>
      <c r="D16" s="6">
        <f>E16+F16+G16+H16</f>
        <v>0</v>
      </c>
      <c r="E16" s="6"/>
      <c r="F16" s="6"/>
      <c r="G16" s="6"/>
      <c r="H16" s="6"/>
      <c r="I16" s="201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Z16" s="201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201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>
      <c r="A17" s="6" t="s">
        <v>14</v>
      </c>
      <c r="B17" s="6"/>
      <c r="C17" s="6"/>
      <c r="D17" s="6">
        <f>E17+F17+G17+H17</f>
        <v>0</v>
      </c>
      <c r="E17" s="6"/>
      <c r="F17" s="6"/>
      <c r="G17" s="6"/>
      <c r="H17" s="6"/>
      <c r="I17" s="201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201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201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/>
      <c r="C18" s="6"/>
      <c r="D18" s="6">
        <f>E18+F18+G18+H18</f>
        <v>0</v>
      </c>
      <c r="E18" s="6"/>
      <c r="F18" s="6"/>
      <c r="G18" s="6"/>
      <c r="H18" s="6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>
      <c r="A19" s="461" t="s">
        <v>16</v>
      </c>
      <c r="B19" s="462"/>
      <c r="C19" s="462"/>
      <c r="D19" s="462"/>
      <c r="E19" s="462"/>
      <c r="F19" s="462"/>
      <c r="G19" s="462"/>
      <c r="H19" s="463"/>
      <c r="J19" s="461" t="s">
        <v>16</v>
      </c>
      <c r="K19" s="462"/>
      <c r="L19" s="462"/>
      <c r="M19" s="462"/>
      <c r="N19" s="462"/>
      <c r="O19" s="462"/>
      <c r="P19" s="462"/>
      <c r="Q19" s="463"/>
      <c r="R19" s="461" t="s">
        <v>16</v>
      </c>
      <c r="S19" s="462"/>
      <c r="T19" s="462"/>
      <c r="U19" s="462"/>
      <c r="V19" s="462"/>
      <c r="W19" s="462"/>
      <c r="X19" s="462"/>
      <c r="Y19" s="463"/>
      <c r="AA19" s="461" t="s">
        <v>16</v>
      </c>
      <c r="AB19" s="462"/>
      <c r="AC19" s="462"/>
      <c r="AD19" s="462"/>
      <c r="AE19" s="462"/>
      <c r="AF19" s="462"/>
      <c r="AG19" s="462"/>
      <c r="AH19" s="463"/>
      <c r="AJ19" s="461" t="s">
        <v>16</v>
      </c>
      <c r="AK19" s="462"/>
      <c r="AL19" s="462"/>
      <c r="AM19" s="462"/>
      <c r="AN19" s="462"/>
      <c r="AO19" s="462"/>
      <c r="AP19" s="462"/>
      <c r="AQ19" s="463"/>
    </row>
    <row r="20" spans="1:43">
      <c r="A20" s="248" t="s">
        <v>18</v>
      </c>
      <c r="B20" s="27">
        <f>B23+B26+B29+B32+B35+B38</f>
        <v>908.63</v>
      </c>
      <c r="C20" s="26">
        <f t="shared" ref="C20:H21" si="16">C23+C26+C29+C32+C35+C38</f>
        <v>44990</v>
      </c>
      <c r="D20" s="26">
        <f t="shared" si="16"/>
        <v>37981</v>
      </c>
      <c r="E20" s="26">
        <f t="shared" si="16"/>
        <v>5299</v>
      </c>
      <c r="F20" s="26">
        <f t="shared" si="16"/>
        <v>6770</v>
      </c>
      <c r="G20" s="26">
        <f t="shared" si="16"/>
        <v>918</v>
      </c>
      <c r="H20" s="26">
        <f t="shared" si="16"/>
        <v>24994</v>
      </c>
      <c r="J20" s="248" t="s">
        <v>18</v>
      </c>
      <c r="K20" s="27">
        <f>K23+K26+K29+K32+K35+K38</f>
        <v>142.9</v>
      </c>
      <c r="L20" s="26">
        <f t="shared" ref="K20:Q21" si="17">L23+L26+L29+L32+L35+L38</f>
        <v>4942</v>
      </c>
      <c r="M20" s="26">
        <f t="shared" si="17"/>
        <v>3895</v>
      </c>
      <c r="N20" s="26">
        <f t="shared" si="17"/>
        <v>346</v>
      </c>
      <c r="O20" s="26">
        <f t="shared" si="17"/>
        <v>1251</v>
      </c>
      <c r="P20" s="26">
        <f t="shared" si="17"/>
        <v>127</v>
      </c>
      <c r="Q20" s="26">
        <f t="shared" si="17"/>
        <v>2171</v>
      </c>
      <c r="R20" s="248" t="s">
        <v>18</v>
      </c>
      <c r="S20" s="27">
        <f>S23+S26+S29+S32+S35+S38</f>
        <v>697.13</v>
      </c>
      <c r="T20" s="26">
        <f t="shared" ref="T20:Y21" si="18">T23+T26+T29+T32+T35+T38</f>
        <v>39638</v>
      </c>
      <c r="U20" s="26">
        <f t="shared" si="18"/>
        <v>33901</v>
      </c>
      <c r="V20" s="26">
        <f t="shared" si="18"/>
        <v>4953</v>
      </c>
      <c r="W20" s="26">
        <f t="shared" si="18"/>
        <v>5519</v>
      </c>
      <c r="X20" s="26">
        <f t="shared" si="18"/>
        <v>791</v>
      </c>
      <c r="Y20" s="26">
        <f t="shared" si="18"/>
        <v>22638</v>
      </c>
      <c r="AA20" s="248" t="s">
        <v>18</v>
      </c>
      <c r="AB20" s="27">
        <f>AB23+AB26+AB29+AB32+AB35+AB38</f>
        <v>233.1</v>
      </c>
      <c r="AC20" s="26">
        <f t="shared" ref="AC20:AH21" si="19">AC23+AC26+AC29+AC32+AC35+AC38</f>
        <v>15874</v>
      </c>
      <c r="AD20" s="26">
        <f t="shared" si="19"/>
        <v>21570</v>
      </c>
      <c r="AE20" s="26">
        <f t="shared" si="19"/>
        <v>4173</v>
      </c>
      <c r="AF20" s="26">
        <f t="shared" si="19"/>
        <v>9230</v>
      </c>
      <c r="AG20" s="26">
        <f t="shared" si="19"/>
        <v>204</v>
      </c>
      <c r="AH20" s="26">
        <f t="shared" si="19"/>
        <v>7963</v>
      </c>
      <c r="AJ20" s="248" t="s">
        <v>18</v>
      </c>
      <c r="AK20" s="27">
        <f>AK23+AK26+AK29+AK32+AK35+AK38</f>
        <v>68.599999999999994</v>
      </c>
      <c r="AL20" s="26">
        <f t="shared" ref="AL20:AQ20" si="20">AL23+AL26+AL29+AL32+AL35+AL38</f>
        <v>410</v>
      </c>
      <c r="AM20" s="26">
        <f t="shared" si="20"/>
        <v>185</v>
      </c>
      <c r="AN20" s="26">
        <f t="shared" si="20"/>
        <v>0</v>
      </c>
      <c r="AO20" s="26">
        <f t="shared" si="20"/>
        <v>0</v>
      </c>
      <c r="AP20" s="26">
        <f t="shared" si="20"/>
        <v>0</v>
      </c>
      <c r="AQ20" s="26">
        <f t="shared" si="20"/>
        <v>185</v>
      </c>
    </row>
    <row r="21" spans="1:43">
      <c r="A21" s="18" t="s">
        <v>19</v>
      </c>
      <c r="B21" s="27">
        <f>B24+B27+B30+B33+B36+B39</f>
        <v>670.00000000000011</v>
      </c>
      <c r="C21" s="26">
        <f>C24+C27+C30+C33+C36+C39</f>
        <v>41730</v>
      </c>
      <c r="D21" s="26">
        <f t="shared" si="16"/>
        <v>38442</v>
      </c>
      <c r="E21" s="26">
        <f t="shared" si="16"/>
        <v>11752</v>
      </c>
      <c r="F21" s="26">
        <f t="shared" si="16"/>
        <v>2627</v>
      </c>
      <c r="G21" s="26">
        <f t="shared" si="16"/>
        <v>540</v>
      </c>
      <c r="H21" s="26">
        <f t="shared" si="16"/>
        <v>23523</v>
      </c>
      <c r="I21" s="201"/>
      <c r="J21" s="18" t="s">
        <v>19</v>
      </c>
      <c r="K21" s="385">
        <f t="shared" si="17"/>
        <v>83.6</v>
      </c>
      <c r="L21" s="26">
        <f t="shared" si="17"/>
        <v>5070</v>
      </c>
      <c r="M21" s="26">
        <f t="shared" si="17"/>
        <v>4667</v>
      </c>
      <c r="N21" s="26">
        <f t="shared" si="17"/>
        <v>1078</v>
      </c>
      <c r="O21" s="26">
        <f t="shared" si="17"/>
        <v>469</v>
      </c>
      <c r="P21" s="26">
        <f t="shared" si="17"/>
        <v>108</v>
      </c>
      <c r="Q21" s="26">
        <f t="shared" si="17"/>
        <v>3012</v>
      </c>
      <c r="R21" s="18" t="s">
        <v>19</v>
      </c>
      <c r="S21" s="27">
        <f>S24+S27+S30+S33+S36+S39</f>
        <v>586.40000000000009</v>
      </c>
      <c r="T21" s="26">
        <f t="shared" si="18"/>
        <v>36660</v>
      </c>
      <c r="U21" s="26">
        <f t="shared" si="18"/>
        <v>33775</v>
      </c>
      <c r="V21" s="26">
        <f t="shared" si="18"/>
        <v>10674</v>
      </c>
      <c r="W21" s="26">
        <f t="shared" si="18"/>
        <v>2158</v>
      </c>
      <c r="X21" s="150">
        <f t="shared" si="18"/>
        <v>432</v>
      </c>
      <c r="Y21" s="26">
        <f t="shared" si="18"/>
        <v>20511</v>
      </c>
      <c r="Z21" s="201"/>
      <c r="AA21" s="18" t="s">
        <v>19</v>
      </c>
      <c r="AB21" s="26">
        <f>AB24+AB27+AB30+AB33+AB36+AB39</f>
        <v>114.3</v>
      </c>
      <c r="AC21" s="26">
        <f t="shared" si="19"/>
        <v>8460</v>
      </c>
      <c r="AD21" s="26">
        <f t="shared" si="19"/>
        <v>7448</v>
      </c>
      <c r="AE21" s="26">
        <f>AE24+AE27+AE30+AE33+AE36+AE39</f>
        <v>1862</v>
      </c>
      <c r="AF21" s="26">
        <f t="shared" si="19"/>
        <v>201</v>
      </c>
      <c r="AG21" s="26">
        <f t="shared" si="19"/>
        <v>12</v>
      </c>
      <c r="AH21" s="26">
        <f t="shared" si="19"/>
        <v>5373</v>
      </c>
      <c r="AI21" s="201"/>
      <c r="AJ21" s="18" t="s">
        <v>19</v>
      </c>
      <c r="AK21" s="27"/>
      <c r="AL21" s="26"/>
      <c r="AM21" s="26"/>
      <c r="AN21" s="26"/>
      <c r="AO21" s="26"/>
      <c r="AP21" s="26"/>
      <c r="AQ21" s="26"/>
    </row>
    <row r="22" spans="1:43">
      <c r="A22" s="248" t="s">
        <v>20</v>
      </c>
      <c r="B22" s="26">
        <f>B21/B20*100</f>
        <v>73.737384854121061</v>
      </c>
      <c r="C22" s="26">
        <f t="shared" ref="C22:H22" si="21">C21/C20*100</f>
        <v>92.753945321182485</v>
      </c>
      <c r="D22" s="26">
        <f t="shared" si="21"/>
        <v>101.21376477712541</v>
      </c>
      <c r="E22" s="26">
        <f t="shared" si="21"/>
        <v>221.77769390451027</v>
      </c>
      <c r="F22" s="26">
        <f t="shared" si="21"/>
        <v>38.80354505169867</v>
      </c>
      <c r="G22" s="26">
        <f t="shared" si="21"/>
        <v>58.82352941176471</v>
      </c>
      <c r="H22" s="26">
        <f t="shared" si="21"/>
        <v>94.11458750100023</v>
      </c>
      <c r="J22" s="248" t="s">
        <v>20</v>
      </c>
      <c r="K22" s="26">
        <f>K21/K20*100</f>
        <v>58.502449265220427</v>
      </c>
      <c r="L22" s="26">
        <f t="shared" ref="L22:Q22" si="22">L21/L20*100</f>
        <v>102.59004451639014</v>
      </c>
      <c r="M22" s="26">
        <f t="shared" si="22"/>
        <v>119.82028241335045</v>
      </c>
      <c r="N22" s="26">
        <f t="shared" si="22"/>
        <v>311.56069364161851</v>
      </c>
      <c r="O22" s="26">
        <f t="shared" si="22"/>
        <v>37.490007993605118</v>
      </c>
      <c r="P22" s="26">
        <f t="shared" si="22"/>
        <v>85.039370078740163</v>
      </c>
      <c r="Q22" s="26">
        <f t="shared" si="22"/>
        <v>138.73790879778903</v>
      </c>
      <c r="R22" s="248" t="s">
        <v>20</v>
      </c>
      <c r="S22" s="26">
        <f>S21/S20*100</f>
        <v>84.116305423665622</v>
      </c>
      <c r="T22" s="26">
        <f t="shared" ref="T22:Y22" si="23">T21/T20*100</f>
        <v>92.487007417124971</v>
      </c>
      <c r="U22" s="26">
        <f t="shared" si="23"/>
        <v>99.628329547800959</v>
      </c>
      <c r="V22" s="26">
        <f t="shared" si="23"/>
        <v>215.50575408843127</v>
      </c>
      <c r="W22" s="26">
        <f t="shared" si="23"/>
        <v>39.101286464939299</v>
      </c>
      <c r="X22" s="26">
        <f t="shared" si="23"/>
        <v>54.614412136536025</v>
      </c>
      <c r="Y22" s="26">
        <f t="shared" si="23"/>
        <v>90.604293665518156</v>
      </c>
      <c r="AA22" s="248" t="s">
        <v>20</v>
      </c>
      <c r="AB22" s="26">
        <f>AB21/AB20*100</f>
        <v>49.034749034749034</v>
      </c>
      <c r="AC22" s="26">
        <f t="shared" ref="AC22:AH22" si="24">AC21/AC20*100</f>
        <v>53.294695728864802</v>
      </c>
      <c r="AD22" s="26">
        <f t="shared" si="24"/>
        <v>34.529439035697727</v>
      </c>
      <c r="AE22" s="26">
        <f t="shared" si="24"/>
        <v>44.620177330457707</v>
      </c>
      <c r="AF22" s="26">
        <f t="shared" si="24"/>
        <v>2.1776814734561212</v>
      </c>
      <c r="AG22" s="26">
        <f t="shared" si="24"/>
        <v>5.8823529411764701</v>
      </c>
      <c r="AH22" s="26">
        <f t="shared" si="24"/>
        <v>67.474569885721465</v>
      </c>
      <c r="AJ22" s="248" t="s">
        <v>20</v>
      </c>
      <c r="AK22" s="26">
        <f>AK21/AK20*100</f>
        <v>0</v>
      </c>
      <c r="AL22" s="26">
        <f t="shared" ref="AL22:AQ22" si="25">AL21/AL20*100</f>
        <v>0</v>
      </c>
      <c r="AM22" s="26">
        <f t="shared" si="25"/>
        <v>0</v>
      </c>
      <c r="AN22" s="26" t="e">
        <f t="shared" si="25"/>
        <v>#DIV/0!</v>
      </c>
      <c r="AO22" s="26" t="e">
        <f t="shared" si="25"/>
        <v>#DIV/0!</v>
      </c>
      <c r="AP22" s="26" t="e">
        <f t="shared" si="25"/>
        <v>#DIV/0!</v>
      </c>
      <c r="AQ22" s="26">
        <f t="shared" si="25"/>
        <v>0</v>
      </c>
    </row>
    <row r="23" spans="1:43">
      <c r="A23" s="6" t="s">
        <v>21</v>
      </c>
      <c r="B23" s="6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J23" s="6" t="s">
        <v>21</v>
      </c>
      <c r="K23" s="6"/>
      <c r="L23" s="6"/>
      <c r="M23" s="6">
        <f>N23+O23+P23+Q23</f>
        <v>0</v>
      </c>
      <c r="N23" s="6"/>
      <c r="O23" s="6"/>
      <c r="P23" s="6"/>
      <c r="Q23" s="6"/>
      <c r="R23" s="6" t="s">
        <v>21</v>
      </c>
      <c r="S23" s="6"/>
      <c r="T23" s="6"/>
      <c r="U23" s="6">
        <f>V23+W23+X23+Y23</f>
        <v>0</v>
      </c>
      <c r="V23" s="6"/>
      <c r="W23" s="6"/>
      <c r="X23" s="6"/>
      <c r="Y23" s="6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J24" s="6" t="s">
        <v>22</v>
      </c>
      <c r="K24" s="6"/>
      <c r="L24" s="6"/>
      <c r="M24" s="6">
        <f>N24+O24+P24+Q24</f>
        <v>0</v>
      </c>
      <c r="N24" s="6"/>
      <c r="O24" s="6"/>
      <c r="P24" s="6"/>
      <c r="Q24" s="6"/>
      <c r="R24" s="6" t="s">
        <v>22</v>
      </c>
      <c r="S24" s="6"/>
      <c r="T24" s="6"/>
      <c r="U24" s="6">
        <f>V24+W24+X24+Y24</f>
        <v>0</v>
      </c>
      <c r="V24" s="6"/>
      <c r="W24" s="6"/>
      <c r="X24" s="6"/>
      <c r="Y24" s="6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26" t="e">
        <f>B24/B23*100</f>
        <v>#DIV/0!</v>
      </c>
      <c r="C25" s="26" t="e">
        <f t="shared" ref="C25:H25" si="27">C24/C23*100</f>
        <v>#DIV/0!</v>
      </c>
      <c r="D25" s="26" t="e">
        <f t="shared" si="27"/>
        <v>#DIV/0!</v>
      </c>
      <c r="E25" s="26" t="e">
        <f t="shared" si="27"/>
        <v>#DIV/0!</v>
      </c>
      <c r="F25" s="26" t="e">
        <f t="shared" si="27"/>
        <v>#DIV/0!</v>
      </c>
      <c r="G25" s="26" t="e">
        <f t="shared" si="27"/>
        <v>#DIV/0!</v>
      </c>
      <c r="H25" s="26" t="e">
        <f t="shared" si="27"/>
        <v>#DIV/0!</v>
      </c>
      <c r="J25" s="6" t="s">
        <v>12</v>
      </c>
      <c r="K25" s="26" t="e">
        <f>K24/K23*100</f>
        <v>#DIV/0!</v>
      </c>
      <c r="L25" s="26" t="e">
        <f t="shared" ref="L25:Q25" si="28">L24/L23*100</f>
        <v>#DIV/0!</v>
      </c>
      <c r="M25" s="26" t="e">
        <f t="shared" si="28"/>
        <v>#DIV/0!</v>
      </c>
      <c r="N25" s="26" t="e">
        <f t="shared" si="28"/>
        <v>#DIV/0!</v>
      </c>
      <c r="O25" s="26" t="e">
        <f t="shared" si="28"/>
        <v>#DIV/0!</v>
      </c>
      <c r="P25" s="26" t="e">
        <f t="shared" si="28"/>
        <v>#DIV/0!</v>
      </c>
      <c r="Q25" s="26" t="e">
        <f t="shared" si="28"/>
        <v>#DIV/0!</v>
      </c>
      <c r="R25" s="6" t="s">
        <v>12</v>
      </c>
      <c r="S25" s="26" t="e">
        <f>S24/S23*100</f>
        <v>#DIV/0!</v>
      </c>
      <c r="T25" s="26" t="e">
        <f t="shared" ref="T25:Y25" si="29">T24/T23*100</f>
        <v>#DIV/0!</v>
      </c>
      <c r="U25" s="26" t="e">
        <f t="shared" si="29"/>
        <v>#DIV/0!</v>
      </c>
      <c r="V25" s="26" t="e">
        <f t="shared" si="29"/>
        <v>#DIV/0!</v>
      </c>
      <c r="W25" s="26" t="e">
        <f t="shared" si="29"/>
        <v>#DIV/0!</v>
      </c>
      <c r="X25" s="26" t="e">
        <f t="shared" si="29"/>
        <v>#DIV/0!</v>
      </c>
      <c r="Y25" s="26" t="e">
        <f t="shared" si="29"/>
        <v>#DIV/0!</v>
      </c>
      <c r="AA25" s="6" t="s">
        <v>12</v>
      </c>
      <c r="AB25" s="26" t="e">
        <f>AB24/AB23*100</f>
        <v>#DIV/0!</v>
      </c>
      <c r="AC25" s="26" t="e">
        <f t="shared" ref="AC25:AH25" si="30">AC24/AC23*100</f>
        <v>#DIV/0!</v>
      </c>
      <c r="AD25" s="26" t="e">
        <f t="shared" si="30"/>
        <v>#DIV/0!</v>
      </c>
      <c r="AE25" s="26" t="e">
        <f t="shared" si="30"/>
        <v>#DIV/0!</v>
      </c>
      <c r="AF25" s="26" t="e">
        <f t="shared" si="30"/>
        <v>#DIV/0!</v>
      </c>
      <c r="AG25" s="26" t="e">
        <f t="shared" si="30"/>
        <v>#DIV/0!</v>
      </c>
      <c r="AH25" s="26" t="e">
        <f t="shared" si="30"/>
        <v>#DIV/0!</v>
      </c>
      <c r="AJ25" s="6" t="s">
        <v>12</v>
      </c>
      <c r="AK25" s="26" t="e">
        <f>AK24/AK23*100</f>
        <v>#DIV/0!</v>
      </c>
      <c r="AL25" s="26" t="e">
        <f t="shared" ref="AL25:AQ25" si="31">AL24/AL23*100</f>
        <v>#DIV/0!</v>
      </c>
      <c r="AM25" s="26" t="e">
        <f t="shared" si="31"/>
        <v>#DIV/0!</v>
      </c>
      <c r="AN25" s="26" t="e">
        <f t="shared" si="31"/>
        <v>#DIV/0!</v>
      </c>
      <c r="AO25" s="26" t="e">
        <f t="shared" si="31"/>
        <v>#DIV/0!</v>
      </c>
      <c r="AP25" s="26" t="e">
        <f t="shared" si="31"/>
        <v>#DIV/0!</v>
      </c>
      <c r="AQ25" s="26" t="e">
        <f t="shared" si="31"/>
        <v>#DIV/0!</v>
      </c>
    </row>
    <row r="26" spans="1:43">
      <c r="A26" s="6" t="s">
        <v>23</v>
      </c>
      <c r="B26" s="6">
        <f>K26+S26+AK26</f>
        <v>61.68</v>
      </c>
      <c r="C26" s="6">
        <f>L26+T26+AL26</f>
        <v>6439</v>
      </c>
      <c r="D26" s="6">
        <f>E26+F26+G26+H26</f>
        <v>5559</v>
      </c>
      <c r="E26" s="6">
        <f t="shared" ref="E26:H27" si="32">N26+V26+AN26</f>
        <v>1087</v>
      </c>
      <c r="F26" s="6">
        <f t="shared" si="32"/>
        <v>575</v>
      </c>
      <c r="G26" s="6">
        <f t="shared" si="32"/>
        <v>212</v>
      </c>
      <c r="H26" s="6">
        <f t="shared" si="32"/>
        <v>3685</v>
      </c>
      <c r="J26" s="6" t="s">
        <v>23</v>
      </c>
      <c r="K26" s="6">
        <v>14.78</v>
      </c>
      <c r="L26" s="6">
        <v>303</v>
      </c>
      <c r="M26" s="6">
        <f>N26+O26+P26+Q26</f>
        <v>235</v>
      </c>
      <c r="N26" s="6">
        <v>5</v>
      </c>
      <c r="O26" s="6">
        <v>40</v>
      </c>
      <c r="P26" s="6">
        <v>10</v>
      </c>
      <c r="Q26" s="6">
        <v>180</v>
      </c>
      <c r="R26" s="6" t="s">
        <v>23</v>
      </c>
      <c r="S26" s="6">
        <v>46.9</v>
      </c>
      <c r="T26" s="6">
        <v>6136</v>
      </c>
      <c r="U26" s="6">
        <f>V26+W26+X26+Y26</f>
        <v>5324</v>
      </c>
      <c r="V26" s="6">
        <v>1082</v>
      </c>
      <c r="W26" s="6">
        <v>535</v>
      </c>
      <c r="X26" s="6">
        <v>202</v>
      </c>
      <c r="Y26" s="6">
        <v>3505</v>
      </c>
      <c r="AA26" s="6" t="s">
        <v>23</v>
      </c>
      <c r="AB26" s="6">
        <v>62.4</v>
      </c>
      <c r="AC26" s="6">
        <v>4279</v>
      </c>
      <c r="AD26" s="6">
        <f>AE26+AF26+AG26+AH26</f>
        <v>3599</v>
      </c>
      <c r="AE26" s="6">
        <v>1076</v>
      </c>
      <c r="AF26" s="6">
        <v>179</v>
      </c>
      <c r="AG26" s="6">
        <v>44</v>
      </c>
      <c r="AH26" s="6">
        <v>2300</v>
      </c>
      <c r="AJ26" s="6" t="s">
        <v>23</v>
      </c>
      <c r="AK26" s="6">
        <v>0</v>
      </c>
      <c r="AL26" s="6">
        <v>0</v>
      </c>
      <c r="AM26" s="6">
        <f>AN26+AO26+AP26+AQ26</f>
        <v>0</v>
      </c>
      <c r="AN26" s="6">
        <v>0</v>
      </c>
      <c r="AO26" s="6">
        <v>0</v>
      </c>
      <c r="AP26" s="6">
        <v>0</v>
      </c>
      <c r="AQ26" s="6">
        <v>0</v>
      </c>
    </row>
    <row r="27" spans="1:43">
      <c r="A27" s="6" t="s">
        <v>24</v>
      </c>
      <c r="B27" s="6">
        <f>K27+S27+AK27</f>
        <v>36.28</v>
      </c>
      <c r="C27" s="6">
        <f>L27+T27+AL27</f>
        <v>2100</v>
      </c>
      <c r="D27" s="6">
        <f>E27+F27+G27+H27</f>
        <v>1769</v>
      </c>
      <c r="E27" s="6">
        <f t="shared" si="32"/>
        <v>561</v>
      </c>
      <c r="F27" s="6">
        <f t="shared" si="32"/>
        <v>136</v>
      </c>
      <c r="G27" s="6">
        <f t="shared" si="32"/>
        <v>54</v>
      </c>
      <c r="H27" s="6">
        <f t="shared" si="32"/>
        <v>1018</v>
      </c>
      <c r="J27" s="6" t="s">
        <v>24</v>
      </c>
      <c r="K27" s="6"/>
      <c r="L27" s="6">
        <v>120</v>
      </c>
      <c r="M27" s="6">
        <f>N27+O27+P27+Q27</f>
        <v>105</v>
      </c>
      <c r="N27" s="6">
        <v>31</v>
      </c>
      <c r="O27" s="6">
        <v>5</v>
      </c>
      <c r="P27" s="6">
        <v>54</v>
      </c>
      <c r="Q27" s="6">
        <v>15</v>
      </c>
      <c r="R27" s="6" t="s">
        <v>24</v>
      </c>
      <c r="S27" s="385">
        <v>36.28</v>
      </c>
      <c r="T27" s="6">
        <v>1980</v>
      </c>
      <c r="U27" s="6">
        <f>V27+W27+X27+Y27</f>
        <v>1664</v>
      </c>
      <c r="V27" s="6">
        <v>530</v>
      </c>
      <c r="W27" s="6">
        <v>131</v>
      </c>
      <c r="X27" s="6"/>
      <c r="Y27" s="6">
        <v>1003</v>
      </c>
      <c r="AA27" s="6" t="s">
        <v>24</v>
      </c>
      <c r="AB27" s="385">
        <v>12.87</v>
      </c>
      <c r="AC27" s="6">
        <v>910</v>
      </c>
      <c r="AD27" s="6">
        <f>AE27+AF27+AG27+AH27</f>
        <v>791</v>
      </c>
      <c r="AE27" s="6">
        <v>305</v>
      </c>
      <c r="AF27" s="6">
        <v>8</v>
      </c>
      <c r="AG27" s="6"/>
      <c r="AH27" s="6">
        <v>478</v>
      </c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26">
        <f>B27/B26*100</f>
        <v>58.819714656290536</v>
      </c>
      <c r="C28" s="26">
        <f t="shared" ref="C28:H28" si="33">C27/C26*100</f>
        <v>32.613759900605679</v>
      </c>
      <c r="D28" s="26">
        <f t="shared" si="33"/>
        <v>31.822270192480662</v>
      </c>
      <c r="E28" s="26">
        <f t="shared" si="33"/>
        <v>51.609935602575895</v>
      </c>
      <c r="F28" s="26">
        <f t="shared" si="33"/>
        <v>23.652173913043477</v>
      </c>
      <c r="G28" s="26">
        <f t="shared" si="33"/>
        <v>25.471698113207548</v>
      </c>
      <c r="H28" s="26">
        <f t="shared" si="33"/>
        <v>27.62550881953867</v>
      </c>
      <c r="J28" s="6" t="s">
        <v>12</v>
      </c>
      <c r="K28" s="26">
        <f>K27/K26*100</f>
        <v>0</v>
      </c>
      <c r="L28" s="26">
        <f t="shared" ref="L28:P28" si="34">L27/L26*100</f>
        <v>39.603960396039604</v>
      </c>
      <c r="M28" s="26">
        <f t="shared" si="34"/>
        <v>44.680851063829785</v>
      </c>
      <c r="N28" s="26">
        <f t="shared" si="34"/>
        <v>620</v>
      </c>
      <c r="O28" s="26">
        <f t="shared" si="34"/>
        <v>12.5</v>
      </c>
      <c r="P28" s="26">
        <f t="shared" si="34"/>
        <v>540</v>
      </c>
      <c r="Q28" s="26"/>
      <c r="R28" s="6" t="s">
        <v>12</v>
      </c>
      <c r="S28" s="26">
        <f>S27/S26*100</f>
        <v>77.356076759061835</v>
      </c>
      <c r="T28" s="26">
        <f t="shared" ref="T28:Y28" si="35">T27/T26*100</f>
        <v>32.268578878748372</v>
      </c>
      <c r="U28" s="26">
        <f t="shared" si="35"/>
        <v>31.254695717505637</v>
      </c>
      <c r="V28" s="26">
        <f t="shared" si="35"/>
        <v>48.983364140480589</v>
      </c>
      <c r="W28" s="26">
        <f t="shared" si="35"/>
        <v>24.485981308411215</v>
      </c>
      <c r="X28" s="26">
        <f t="shared" si="35"/>
        <v>0</v>
      </c>
      <c r="Y28" s="26">
        <f t="shared" si="35"/>
        <v>28.616262482168331</v>
      </c>
      <c r="AA28" s="6" t="s">
        <v>12</v>
      </c>
      <c r="AB28" s="26">
        <f>AB27/AB26*100</f>
        <v>20.625</v>
      </c>
      <c r="AC28" s="26">
        <f t="shared" ref="AC28:AH28" si="36">AC27/AC26*100</f>
        <v>21.266651086702502</v>
      </c>
      <c r="AD28" s="26">
        <f t="shared" si="36"/>
        <v>21.97832731314254</v>
      </c>
      <c r="AE28" s="26">
        <f t="shared" si="36"/>
        <v>28.345724907063197</v>
      </c>
      <c r="AF28" s="26">
        <f t="shared" si="36"/>
        <v>4.4692737430167595</v>
      </c>
      <c r="AG28" s="26">
        <f t="shared" si="36"/>
        <v>0</v>
      </c>
      <c r="AH28" s="26">
        <f t="shared" si="36"/>
        <v>20.782608695652176</v>
      </c>
      <c r="AJ28" s="6" t="s">
        <v>12</v>
      </c>
      <c r="AK28" s="26" t="e">
        <f>AK27/AK26*100</f>
        <v>#DIV/0!</v>
      </c>
      <c r="AL28" s="26" t="e">
        <f t="shared" ref="AL28:AQ28" si="37">AL27/AL26*100</f>
        <v>#DIV/0!</v>
      </c>
      <c r="AM28" s="26" t="e">
        <f t="shared" si="37"/>
        <v>#DIV/0!</v>
      </c>
      <c r="AN28" s="26" t="e">
        <f t="shared" si="37"/>
        <v>#DIV/0!</v>
      </c>
      <c r="AO28" s="26" t="e">
        <f t="shared" si="37"/>
        <v>#DIV/0!</v>
      </c>
      <c r="AP28" s="26" t="e">
        <f t="shared" si="37"/>
        <v>#DIV/0!</v>
      </c>
      <c r="AQ28" s="26" t="e">
        <f t="shared" si="37"/>
        <v>#DIV/0!</v>
      </c>
    </row>
    <row r="29" spans="1:43">
      <c r="A29" s="6" t="s">
        <v>25</v>
      </c>
      <c r="B29" s="6">
        <f>K29+S29+AK29</f>
        <v>484.55</v>
      </c>
      <c r="C29" s="6">
        <f>L29+T29+AL29</f>
        <v>25807</v>
      </c>
      <c r="D29" s="6">
        <f>E29+F29+G29+H29</f>
        <v>21925</v>
      </c>
      <c r="E29" s="6">
        <f t="shared" ref="E29:H30" si="38">N29+V29+AN29</f>
        <v>2823</v>
      </c>
      <c r="F29" s="6">
        <f t="shared" si="38"/>
        <v>3369</v>
      </c>
      <c r="G29" s="6">
        <f t="shared" si="38"/>
        <v>221</v>
      </c>
      <c r="H29" s="6">
        <f t="shared" si="38"/>
        <v>15512</v>
      </c>
      <c r="J29" s="6" t="s">
        <v>25</v>
      </c>
      <c r="K29" s="27">
        <v>32.450000000000003</v>
      </c>
      <c r="L29" s="6">
        <v>1139</v>
      </c>
      <c r="M29" s="6">
        <f>N29+O29+P29+Q29</f>
        <v>854</v>
      </c>
      <c r="N29" s="6">
        <v>33</v>
      </c>
      <c r="O29" s="6">
        <v>195</v>
      </c>
      <c r="P29" s="6">
        <v>16</v>
      </c>
      <c r="Q29" s="6">
        <v>610</v>
      </c>
      <c r="R29" s="6" t="s">
        <v>25</v>
      </c>
      <c r="S29" s="6">
        <v>452.1</v>
      </c>
      <c r="T29" s="6">
        <v>24668</v>
      </c>
      <c r="U29" s="6">
        <f>V29+W29+X29+Y29</f>
        <v>21071</v>
      </c>
      <c r="V29" s="6">
        <v>2790</v>
      </c>
      <c r="W29" s="6">
        <v>3174</v>
      </c>
      <c r="X29" s="6">
        <v>205</v>
      </c>
      <c r="Y29" s="6">
        <v>14902</v>
      </c>
      <c r="AA29" s="6" t="s">
        <v>25</v>
      </c>
      <c r="AB29" s="6">
        <v>119.3</v>
      </c>
      <c r="AC29" s="6">
        <v>8503</v>
      </c>
      <c r="AD29" s="6">
        <f>AE29+AF29+AG29+AH29</f>
        <v>7061</v>
      </c>
      <c r="AE29" s="6">
        <v>2295</v>
      </c>
      <c r="AF29" s="6">
        <v>266</v>
      </c>
      <c r="AG29" s="6">
        <v>93</v>
      </c>
      <c r="AH29" s="6">
        <v>4407</v>
      </c>
      <c r="AJ29" s="6" t="s">
        <v>25</v>
      </c>
      <c r="AK29" s="6"/>
      <c r="AL29" s="6"/>
      <c r="AM29" s="6">
        <f>AN29+AO29+AP29+AQ29</f>
        <v>0</v>
      </c>
      <c r="AN29" s="6"/>
      <c r="AO29" s="6"/>
      <c r="AP29" s="6"/>
      <c r="AQ29" s="6"/>
    </row>
    <row r="30" spans="1:43">
      <c r="A30" s="6" t="s">
        <v>26</v>
      </c>
      <c r="B30" s="6">
        <f>K30+S30+AK30</f>
        <v>486.66</v>
      </c>
      <c r="C30" s="6">
        <f>L30+T30+AL30</f>
        <v>28090</v>
      </c>
      <c r="D30" s="6">
        <f>E30+F30+G30+H30</f>
        <v>26475</v>
      </c>
      <c r="E30" s="6">
        <f t="shared" si="38"/>
        <v>9567</v>
      </c>
      <c r="F30" s="6">
        <f t="shared" si="38"/>
        <v>1557</v>
      </c>
      <c r="G30" s="6">
        <f t="shared" si="38"/>
        <v>20</v>
      </c>
      <c r="H30" s="6">
        <f t="shared" si="38"/>
        <v>15331</v>
      </c>
      <c r="J30" s="6" t="s">
        <v>26</v>
      </c>
      <c r="K30" s="27">
        <v>23.73</v>
      </c>
      <c r="L30" s="6">
        <v>1300</v>
      </c>
      <c r="M30" s="6">
        <f>N30+O30+P30+Q30</f>
        <v>1211</v>
      </c>
      <c r="N30" s="6">
        <v>325</v>
      </c>
      <c r="O30" s="6">
        <v>131</v>
      </c>
      <c r="P30" s="6">
        <v>20</v>
      </c>
      <c r="Q30" s="6">
        <v>735</v>
      </c>
      <c r="R30" s="6" t="s">
        <v>26</v>
      </c>
      <c r="S30" s="6">
        <v>462.93</v>
      </c>
      <c r="T30" s="6">
        <v>26790</v>
      </c>
      <c r="U30" s="6">
        <f>V30+W30+X30+Y30</f>
        <v>25264</v>
      </c>
      <c r="V30" s="6">
        <v>9242</v>
      </c>
      <c r="W30" s="6">
        <v>1426</v>
      </c>
      <c r="X30" s="6"/>
      <c r="Y30" s="6">
        <v>14596</v>
      </c>
      <c r="AA30" s="6" t="s">
        <v>26</v>
      </c>
      <c r="AB30" s="6">
        <v>38.11</v>
      </c>
      <c r="AC30" s="6">
        <v>2290</v>
      </c>
      <c r="AD30" s="6">
        <f>AE30+AF30+AG30+AH30</f>
        <v>2087</v>
      </c>
      <c r="AE30" s="6">
        <v>798</v>
      </c>
      <c r="AF30" s="6">
        <v>23</v>
      </c>
      <c r="AG30" s="6"/>
      <c r="AH30" s="6">
        <v>1266</v>
      </c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26">
        <f>B30/B29*100</f>
        <v>100.43545557733979</v>
      </c>
      <c r="C31" s="26">
        <f t="shared" ref="C31:H31" si="39">C30/C29*100</f>
        <v>108.84643701321346</v>
      </c>
      <c r="D31" s="26">
        <f t="shared" si="39"/>
        <v>120.75256556442417</v>
      </c>
      <c r="E31" s="26">
        <f t="shared" si="39"/>
        <v>338.89479277364507</v>
      </c>
      <c r="F31" s="26">
        <f t="shared" si="39"/>
        <v>46.215494211932324</v>
      </c>
      <c r="G31" s="26">
        <f t="shared" si="39"/>
        <v>9.0497737556561084</v>
      </c>
      <c r="H31" s="26">
        <f t="shared" si="39"/>
        <v>98.833161423414126</v>
      </c>
      <c r="J31" s="6" t="s">
        <v>12</v>
      </c>
      <c r="K31" s="26">
        <f>K30/K29*100</f>
        <v>73.127889060092443</v>
      </c>
      <c r="L31" s="26">
        <f t="shared" ref="L31:Q31" si="40">L30/L29*100</f>
        <v>114.13520632133452</v>
      </c>
      <c r="M31" s="26">
        <f t="shared" si="40"/>
        <v>141.80327868852459</v>
      </c>
      <c r="N31" s="26">
        <f t="shared" si="40"/>
        <v>984.84848484848476</v>
      </c>
      <c r="O31" s="26">
        <f t="shared" si="40"/>
        <v>67.179487179487168</v>
      </c>
      <c r="P31" s="26">
        <f t="shared" si="40"/>
        <v>125</v>
      </c>
      <c r="Q31" s="26">
        <f t="shared" si="40"/>
        <v>120.49180327868851</v>
      </c>
      <c r="R31" s="6" t="s">
        <v>12</v>
      </c>
      <c r="S31" s="26">
        <f>S30/S29*100</f>
        <v>102.39548772395489</v>
      </c>
      <c r="T31" s="26">
        <f t="shared" ref="T31:Y31" si="41">T30/T29*100</f>
        <v>108.60223771688018</v>
      </c>
      <c r="U31" s="26">
        <f t="shared" si="41"/>
        <v>119.89938778415832</v>
      </c>
      <c r="V31" s="26">
        <f t="shared" si="41"/>
        <v>331.25448028673839</v>
      </c>
      <c r="W31" s="26">
        <f t="shared" si="41"/>
        <v>44.927536231884055</v>
      </c>
      <c r="X31" s="26">
        <f t="shared" si="41"/>
        <v>0</v>
      </c>
      <c r="Y31" s="26">
        <f t="shared" si="41"/>
        <v>97.946584351093819</v>
      </c>
      <c r="AA31" s="6" t="s">
        <v>12</v>
      </c>
      <c r="AB31" s="26">
        <f>AB30/AB29*100</f>
        <v>31.944677284157585</v>
      </c>
      <c r="AC31" s="26">
        <f t="shared" ref="AC31:AH31" si="42">AC30/AC29*100</f>
        <v>26.931671174879458</v>
      </c>
      <c r="AD31" s="26">
        <f t="shared" si="42"/>
        <v>29.556720011329841</v>
      </c>
      <c r="AE31" s="26">
        <f t="shared" si="42"/>
        <v>34.771241830065357</v>
      </c>
      <c r="AF31" s="26">
        <f t="shared" si="42"/>
        <v>8.6466165413533833</v>
      </c>
      <c r="AG31" s="26">
        <f t="shared" si="42"/>
        <v>0</v>
      </c>
      <c r="AH31" s="26">
        <f t="shared" si="42"/>
        <v>28.727025187202177</v>
      </c>
      <c r="AJ31" s="6" t="s">
        <v>12</v>
      </c>
      <c r="AK31" s="26" t="e">
        <f>AK30/AK29*100</f>
        <v>#DIV/0!</v>
      </c>
      <c r="AL31" s="26" t="e">
        <f t="shared" ref="AL31:AQ31" si="43">AL30/AL29*100</f>
        <v>#DIV/0!</v>
      </c>
      <c r="AM31" s="26" t="e">
        <f t="shared" si="43"/>
        <v>#DIV/0!</v>
      </c>
      <c r="AN31" s="26" t="e">
        <f t="shared" si="43"/>
        <v>#DIV/0!</v>
      </c>
      <c r="AO31" s="26" t="e">
        <f t="shared" si="43"/>
        <v>#DIV/0!</v>
      </c>
      <c r="AP31" s="26" t="e">
        <f t="shared" si="43"/>
        <v>#DIV/0!</v>
      </c>
      <c r="AQ31" s="26" t="e">
        <f t="shared" si="43"/>
        <v>#DIV/0!</v>
      </c>
    </row>
    <row r="32" spans="1:43">
      <c r="A32" s="6" t="s">
        <v>27</v>
      </c>
      <c r="B32" s="6">
        <f>K32+S32+AK32</f>
        <v>0</v>
      </c>
      <c r="C32" s="6">
        <f>L32+T32+AL32</f>
        <v>0</v>
      </c>
      <c r="D32" s="6">
        <f>E32+F32+G32+H32</f>
        <v>0</v>
      </c>
      <c r="E32" s="6">
        <f t="shared" ref="E32:H33" si="44">N32+V32+AN32</f>
        <v>0</v>
      </c>
      <c r="F32" s="6">
        <f t="shared" si="44"/>
        <v>0</v>
      </c>
      <c r="G32" s="6">
        <f t="shared" si="44"/>
        <v>0</v>
      </c>
      <c r="H32" s="6">
        <f t="shared" si="44"/>
        <v>0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/>
      <c r="T32" s="6"/>
      <c r="U32" s="6">
        <f>V32+W32+X32+Y32</f>
        <v>0</v>
      </c>
      <c r="V32" s="6"/>
      <c r="W32" s="6"/>
      <c r="X32" s="6"/>
      <c r="Y32" s="6"/>
      <c r="AA32" s="6" t="s">
        <v>27</v>
      </c>
      <c r="AB32" s="6"/>
      <c r="AC32" s="6"/>
      <c r="AD32" s="6">
        <f>AE32+AF32+AG32+AH32</f>
        <v>0</v>
      </c>
      <c r="AE32" s="6"/>
      <c r="AF32" s="6"/>
      <c r="AG32" s="6"/>
      <c r="AH32" s="6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</row>
    <row r="33" spans="1:43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44"/>
        <v>0</v>
      </c>
      <c r="F33" s="6">
        <f t="shared" si="44"/>
        <v>0</v>
      </c>
      <c r="G33" s="6">
        <f t="shared" si="44"/>
        <v>0</v>
      </c>
      <c r="H33" s="6">
        <f t="shared" si="44"/>
        <v>0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>
        <v>0</v>
      </c>
      <c r="T33" s="6">
        <v>0</v>
      </c>
      <c r="U33" s="6">
        <f>V33+W33+X33+Y33</f>
        <v>0</v>
      </c>
      <c r="V33" s="6">
        <v>0</v>
      </c>
      <c r="W33" s="6">
        <v>0</v>
      </c>
      <c r="X33" s="6">
        <v>0</v>
      </c>
      <c r="Y33" s="6">
        <v>0</v>
      </c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26" t="e">
        <f>B33/B32*100</f>
        <v>#DIV/0!</v>
      </c>
      <c r="C34" s="26" t="e">
        <f t="shared" ref="C34:H34" si="45">C33/C32*100</f>
        <v>#DIV/0!</v>
      </c>
      <c r="D34" s="26" t="e">
        <f t="shared" si="45"/>
        <v>#DIV/0!</v>
      </c>
      <c r="E34" s="26" t="e">
        <f t="shared" si="45"/>
        <v>#DIV/0!</v>
      </c>
      <c r="F34" s="26" t="e">
        <f t="shared" si="45"/>
        <v>#DIV/0!</v>
      </c>
      <c r="G34" s="26" t="e">
        <f t="shared" si="45"/>
        <v>#DIV/0!</v>
      </c>
      <c r="H34" s="26" t="e">
        <f t="shared" si="45"/>
        <v>#DIV/0!</v>
      </c>
      <c r="J34" s="6" t="s">
        <v>12</v>
      </c>
      <c r="K34" s="26" t="e">
        <f>K33/K32*100</f>
        <v>#DIV/0!</v>
      </c>
      <c r="L34" s="26" t="e">
        <f t="shared" ref="L34:Q34" si="46">L33/L32*100</f>
        <v>#DIV/0!</v>
      </c>
      <c r="M34" s="26" t="e">
        <f t="shared" si="46"/>
        <v>#DIV/0!</v>
      </c>
      <c r="N34" s="26" t="e">
        <f t="shared" si="46"/>
        <v>#DIV/0!</v>
      </c>
      <c r="O34" s="26" t="e">
        <f t="shared" si="46"/>
        <v>#DIV/0!</v>
      </c>
      <c r="P34" s="26" t="e">
        <f t="shared" si="46"/>
        <v>#DIV/0!</v>
      </c>
      <c r="Q34" s="26" t="e">
        <f t="shared" si="46"/>
        <v>#DIV/0!</v>
      </c>
      <c r="R34" s="6" t="s">
        <v>12</v>
      </c>
      <c r="S34" s="26" t="e">
        <f>S33/S32*100</f>
        <v>#DIV/0!</v>
      </c>
      <c r="T34" s="26" t="e">
        <f t="shared" ref="T34:Y34" si="47">T33/T32*100</f>
        <v>#DIV/0!</v>
      </c>
      <c r="U34" s="26" t="e">
        <f t="shared" si="47"/>
        <v>#DIV/0!</v>
      </c>
      <c r="V34" s="26" t="e">
        <f t="shared" si="47"/>
        <v>#DIV/0!</v>
      </c>
      <c r="W34" s="26" t="e">
        <f t="shared" si="47"/>
        <v>#DIV/0!</v>
      </c>
      <c r="X34" s="26" t="e">
        <f t="shared" si="47"/>
        <v>#DIV/0!</v>
      </c>
      <c r="Y34" s="26" t="e">
        <f t="shared" si="47"/>
        <v>#DIV/0!</v>
      </c>
      <c r="AA34" s="6" t="s">
        <v>12</v>
      </c>
      <c r="AB34" s="26" t="e">
        <f>AB33/AB32*100</f>
        <v>#DIV/0!</v>
      </c>
      <c r="AC34" s="26" t="e">
        <f t="shared" ref="AC34:AH34" si="48">AC33/AC32*100</f>
        <v>#DIV/0!</v>
      </c>
      <c r="AD34" s="26" t="e">
        <f t="shared" si="48"/>
        <v>#DIV/0!</v>
      </c>
      <c r="AE34" s="26" t="e">
        <f t="shared" si="48"/>
        <v>#DIV/0!</v>
      </c>
      <c r="AF34" s="26" t="e">
        <f t="shared" si="48"/>
        <v>#DIV/0!</v>
      </c>
      <c r="AG34" s="26" t="e">
        <f t="shared" si="48"/>
        <v>#DIV/0!</v>
      </c>
      <c r="AH34" s="26" t="e">
        <f t="shared" si="48"/>
        <v>#DIV/0!</v>
      </c>
      <c r="AJ34" s="6" t="s">
        <v>12</v>
      </c>
      <c r="AK34" s="26" t="e">
        <f>AK33/AK32*100</f>
        <v>#DIV/0!</v>
      </c>
      <c r="AL34" s="26" t="e">
        <f t="shared" ref="AL34:AQ34" si="49">AL33/AL32*100</f>
        <v>#DIV/0!</v>
      </c>
      <c r="AM34" s="26" t="e">
        <f t="shared" si="49"/>
        <v>#DIV/0!</v>
      </c>
      <c r="AN34" s="26" t="e">
        <f t="shared" si="49"/>
        <v>#DIV/0!</v>
      </c>
      <c r="AO34" s="26" t="e">
        <f t="shared" si="49"/>
        <v>#DIV/0!</v>
      </c>
      <c r="AP34" s="26" t="e">
        <f t="shared" si="49"/>
        <v>#DIV/0!</v>
      </c>
      <c r="AQ34" s="26" t="e">
        <f t="shared" si="49"/>
        <v>#DIV/0!</v>
      </c>
    </row>
    <row r="35" spans="1:43">
      <c r="A35" s="6" t="s">
        <v>29</v>
      </c>
      <c r="B35" s="6">
        <f>K35+S35+AK35</f>
        <v>38.03</v>
      </c>
      <c r="C35" s="6">
        <f>L35+T35+AL35</f>
        <v>3468</v>
      </c>
      <c r="D35" s="6">
        <f>E35+F35+G35+H35</f>
        <v>3044</v>
      </c>
      <c r="E35" s="6">
        <f t="shared" ref="E35:H36" si="50">N35+V35+AN35</f>
        <v>0</v>
      </c>
      <c r="F35" s="6">
        <f t="shared" si="50"/>
        <v>867</v>
      </c>
      <c r="G35" s="6">
        <f t="shared" si="50"/>
        <v>272</v>
      </c>
      <c r="H35" s="6">
        <f t="shared" si="50"/>
        <v>1905</v>
      </c>
      <c r="J35" s="6" t="s">
        <v>29</v>
      </c>
      <c r="K35" s="6"/>
      <c r="L35" s="6"/>
      <c r="M35" s="6">
        <f>N35+O35+P35+Q35</f>
        <v>0</v>
      </c>
      <c r="N35" s="6"/>
      <c r="O35" s="6"/>
      <c r="P35" s="6"/>
      <c r="Q35" s="6"/>
      <c r="R35" s="6" t="s">
        <v>29</v>
      </c>
      <c r="S35" s="27">
        <v>38.03</v>
      </c>
      <c r="T35" s="6">
        <v>3468</v>
      </c>
      <c r="U35" s="6">
        <f>V35+W35+X35+Y35</f>
        <v>3044</v>
      </c>
      <c r="V35" s="6"/>
      <c r="W35" s="6">
        <v>867</v>
      </c>
      <c r="X35" s="6">
        <v>272</v>
      </c>
      <c r="Y35" s="6">
        <v>1905</v>
      </c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J35" s="6" t="s">
        <v>29</v>
      </c>
      <c r="AK35" s="6"/>
      <c r="AL35" s="6"/>
      <c r="AM35" s="6">
        <f>AN35+AO35+AP35+AQ35</f>
        <v>0</v>
      </c>
      <c r="AN35" s="6"/>
      <c r="AO35" s="6"/>
      <c r="AP35" s="6"/>
      <c r="AQ35" s="6"/>
    </row>
    <row r="36" spans="1:43">
      <c r="A36" s="6" t="s">
        <v>30</v>
      </c>
      <c r="B36" s="6">
        <f>K36+S36+AK36</f>
        <v>20.7</v>
      </c>
      <c r="C36" s="6">
        <f>L36+T36+AL36</f>
        <v>2180</v>
      </c>
      <c r="D36" s="6">
        <f>E36+F36+G36+H36</f>
        <v>1956</v>
      </c>
      <c r="E36" s="6">
        <f t="shared" si="50"/>
        <v>108</v>
      </c>
      <c r="F36" s="6">
        <f t="shared" si="50"/>
        <v>433</v>
      </c>
      <c r="G36" s="6">
        <f t="shared" si="50"/>
        <v>424</v>
      </c>
      <c r="H36" s="6">
        <f t="shared" si="50"/>
        <v>991</v>
      </c>
      <c r="J36" s="6" t="s">
        <v>30</v>
      </c>
      <c r="K36" s="27">
        <v>0.5</v>
      </c>
      <c r="L36" s="6">
        <v>70</v>
      </c>
      <c r="M36" s="6">
        <f>N36+O36+P36+Q36</f>
        <v>63</v>
      </c>
      <c r="N36" s="6">
        <v>2</v>
      </c>
      <c r="O36" s="6">
        <v>13</v>
      </c>
      <c r="P36" s="6">
        <v>4</v>
      </c>
      <c r="Q36" s="6">
        <v>44</v>
      </c>
      <c r="R36" s="6" t="s">
        <v>30</v>
      </c>
      <c r="S36" s="27">
        <v>20.2</v>
      </c>
      <c r="T36" s="6">
        <v>2110</v>
      </c>
      <c r="U36" s="6">
        <f>V36+W36+X36+Y36</f>
        <v>1893</v>
      </c>
      <c r="V36" s="6">
        <v>106</v>
      </c>
      <c r="W36" s="6">
        <v>420</v>
      </c>
      <c r="X36" s="6">
        <v>420</v>
      </c>
      <c r="Y36" s="6">
        <v>947</v>
      </c>
      <c r="AA36" s="6" t="s">
        <v>30</v>
      </c>
      <c r="AB36" s="6"/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26">
        <f>B36/B35*100</f>
        <v>54.430712595319484</v>
      </c>
      <c r="C37" s="26">
        <f t="shared" ref="C37:H37" si="51">C36/C35*100</f>
        <v>62.860438292964247</v>
      </c>
      <c r="D37" s="26">
        <f t="shared" si="51"/>
        <v>64.257555847568995</v>
      </c>
      <c r="E37" s="26" t="e">
        <f t="shared" si="51"/>
        <v>#DIV/0!</v>
      </c>
      <c r="F37" s="26">
        <f t="shared" si="51"/>
        <v>49.942329873125715</v>
      </c>
      <c r="G37" s="26">
        <f t="shared" si="51"/>
        <v>155.88235294117646</v>
      </c>
      <c r="H37" s="26">
        <f t="shared" si="51"/>
        <v>52.020997375328079</v>
      </c>
      <c r="J37" s="6" t="s">
        <v>12</v>
      </c>
      <c r="K37" s="26" t="e">
        <f>K36/K35*100</f>
        <v>#DIV/0!</v>
      </c>
      <c r="L37" s="26" t="e">
        <f t="shared" ref="L37:Q37" si="52">L36/L35*100</f>
        <v>#DIV/0!</v>
      </c>
      <c r="M37" s="26" t="e">
        <f t="shared" si="52"/>
        <v>#DIV/0!</v>
      </c>
      <c r="N37" s="26" t="e">
        <f t="shared" si="52"/>
        <v>#DIV/0!</v>
      </c>
      <c r="O37" s="26" t="e">
        <f t="shared" si="52"/>
        <v>#DIV/0!</v>
      </c>
      <c r="P37" s="26" t="e">
        <f t="shared" si="52"/>
        <v>#DIV/0!</v>
      </c>
      <c r="Q37" s="26" t="e">
        <f t="shared" si="52"/>
        <v>#DIV/0!</v>
      </c>
      <c r="R37" s="6" t="s">
        <v>12</v>
      </c>
      <c r="S37" s="26">
        <f>S36/S35*100</f>
        <v>53.115961083355245</v>
      </c>
      <c r="T37" s="26">
        <f t="shared" ref="T37:Y37" si="53">T36/T35*100</f>
        <v>60.841983852364478</v>
      </c>
      <c r="U37" s="26">
        <f t="shared" si="53"/>
        <v>62.187910643889623</v>
      </c>
      <c r="V37" s="26" t="e">
        <f t="shared" si="53"/>
        <v>#DIV/0!</v>
      </c>
      <c r="W37" s="26">
        <f t="shared" si="53"/>
        <v>48.442906574394463</v>
      </c>
      <c r="X37" s="26">
        <f t="shared" si="53"/>
        <v>154.41176470588235</v>
      </c>
      <c r="Y37" s="26">
        <f t="shared" si="53"/>
        <v>49.71128608923884</v>
      </c>
      <c r="AA37" s="6" t="s">
        <v>12</v>
      </c>
      <c r="AB37" s="26" t="e">
        <f>AB36/AB35*100</f>
        <v>#DIV/0!</v>
      </c>
      <c r="AC37" s="26" t="e">
        <f t="shared" ref="AC37:AH37" si="54">AC36/AC35*100</f>
        <v>#DIV/0!</v>
      </c>
      <c r="AD37" s="26" t="e">
        <f t="shared" si="54"/>
        <v>#DIV/0!</v>
      </c>
      <c r="AE37" s="26" t="e">
        <f t="shared" si="54"/>
        <v>#DIV/0!</v>
      </c>
      <c r="AF37" s="26" t="e">
        <f t="shared" si="54"/>
        <v>#DIV/0!</v>
      </c>
      <c r="AG37" s="26" t="e">
        <f t="shared" si="54"/>
        <v>#DIV/0!</v>
      </c>
      <c r="AH37" s="26" t="e">
        <f t="shared" si="54"/>
        <v>#DIV/0!</v>
      </c>
      <c r="AJ37" s="6" t="s">
        <v>12</v>
      </c>
      <c r="AK37" s="26" t="e">
        <f>AK36/AK35*100</f>
        <v>#DIV/0!</v>
      </c>
      <c r="AL37" s="26" t="e">
        <f t="shared" ref="AL37:AQ37" si="55">AL36/AL35*100</f>
        <v>#DIV/0!</v>
      </c>
      <c r="AM37" s="26" t="e">
        <f t="shared" si="55"/>
        <v>#DIV/0!</v>
      </c>
      <c r="AN37" s="26" t="e">
        <f t="shared" si="55"/>
        <v>#DIV/0!</v>
      </c>
      <c r="AO37" s="26" t="e">
        <f t="shared" si="55"/>
        <v>#DIV/0!</v>
      </c>
      <c r="AP37" s="26" t="e">
        <f t="shared" si="55"/>
        <v>#DIV/0!</v>
      </c>
      <c r="AQ37" s="26" t="e">
        <f t="shared" si="55"/>
        <v>#DIV/0!</v>
      </c>
    </row>
    <row r="38" spans="1:43">
      <c r="A38" s="6" t="s">
        <v>31</v>
      </c>
      <c r="B38" s="6">
        <f>K38+S38+AK38</f>
        <v>324.37</v>
      </c>
      <c r="C38" s="6">
        <f>L38+T38+AL38</f>
        <v>9276</v>
      </c>
      <c r="D38" s="6">
        <f>E38+F38+G38+H38</f>
        <v>7453</v>
      </c>
      <c r="E38" s="6">
        <f t="shared" ref="E38:H39" si="56">N38+V38+AN38</f>
        <v>1389</v>
      </c>
      <c r="F38" s="6">
        <f t="shared" si="56"/>
        <v>1959</v>
      </c>
      <c r="G38" s="6">
        <f t="shared" si="56"/>
        <v>213</v>
      </c>
      <c r="H38" s="6">
        <f t="shared" si="56"/>
        <v>3892</v>
      </c>
      <c r="J38" s="6" t="s">
        <v>31</v>
      </c>
      <c r="K38" s="6">
        <v>95.67</v>
      </c>
      <c r="L38" s="6">
        <v>3500</v>
      </c>
      <c r="M38" s="6">
        <f>N38+O38+P38+Q38</f>
        <v>2806</v>
      </c>
      <c r="N38" s="6">
        <v>308</v>
      </c>
      <c r="O38" s="6">
        <v>1016</v>
      </c>
      <c r="P38" s="6">
        <v>101</v>
      </c>
      <c r="Q38" s="6">
        <v>1381</v>
      </c>
      <c r="R38" s="6" t="s">
        <v>31</v>
      </c>
      <c r="S38" s="6">
        <v>160.1</v>
      </c>
      <c r="T38" s="6">
        <v>5366</v>
      </c>
      <c r="U38" s="6">
        <f>V38+W38+X38+Y38</f>
        <v>4462</v>
      </c>
      <c r="V38" s="6">
        <v>1081</v>
      </c>
      <c r="W38" s="6">
        <v>943</v>
      </c>
      <c r="X38" s="6">
        <v>112</v>
      </c>
      <c r="Y38" s="6">
        <v>2326</v>
      </c>
      <c r="AA38" s="6" t="s">
        <v>31</v>
      </c>
      <c r="AB38" s="6">
        <v>51.4</v>
      </c>
      <c r="AC38" s="6">
        <v>3092</v>
      </c>
      <c r="AD38" s="6">
        <f>AE38+AF38+AG38+AH38</f>
        <v>10910</v>
      </c>
      <c r="AE38" s="6">
        <v>802</v>
      </c>
      <c r="AF38" s="6">
        <v>8785</v>
      </c>
      <c r="AG38" s="6">
        <v>67</v>
      </c>
      <c r="AH38" s="6">
        <v>1256</v>
      </c>
      <c r="AJ38" s="6" t="s">
        <v>31</v>
      </c>
      <c r="AK38" s="6">
        <v>68.599999999999994</v>
      </c>
      <c r="AL38" s="6">
        <v>410</v>
      </c>
      <c r="AM38" s="6">
        <f>AN38+AO38+AP38+AQ38</f>
        <v>185</v>
      </c>
      <c r="AN38" s="6"/>
      <c r="AO38" s="6"/>
      <c r="AP38" s="6"/>
      <c r="AQ38" s="6">
        <v>185</v>
      </c>
    </row>
    <row r="39" spans="1:43">
      <c r="A39" s="6" t="s">
        <v>32</v>
      </c>
      <c r="B39" s="6">
        <f>K39+S39+AK39</f>
        <v>126.35999999999999</v>
      </c>
      <c r="C39" s="6">
        <f>L39+T39+AL39</f>
        <v>9360</v>
      </c>
      <c r="D39" s="6">
        <f>E39+F39+G39+H39</f>
        <v>8242</v>
      </c>
      <c r="E39" s="6">
        <f t="shared" si="56"/>
        <v>1516</v>
      </c>
      <c r="F39" s="6">
        <f t="shared" si="56"/>
        <v>501</v>
      </c>
      <c r="G39" s="6">
        <f t="shared" si="56"/>
        <v>42</v>
      </c>
      <c r="H39" s="6">
        <f t="shared" si="56"/>
        <v>6183</v>
      </c>
      <c r="J39" s="6" t="s">
        <v>32</v>
      </c>
      <c r="K39" s="6">
        <v>59.37</v>
      </c>
      <c r="L39" s="6">
        <v>3580</v>
      </c>
      <c r="M39" s="6">
        <f>N39+O39+P39+Q39</f>
        <v>3288</v>
      </c>
      <c r="N39" s="6">
        <v>720</v>
      </c>
      <c r="O39" s="6">
        <v>320</v>
      </c>
      <c r="P39" s="6">
        <v>30</v>
      </c>
      <c r="Q39" s="6">
        <v>2218</v>
      </c>
      <c r="R39" s="6" t="s">
        <v>32</v>
      </c>
      <c r="S39" s="27">
        <v>66.989999999999995</v>
      </c>
      <c r="T39" s="6">
        <v>5780</v>
      </c>
      <c r="U39" s="6">
        <f>V39+W39+X39+Y39</f>
        <v>4954</v>
      </c>
      <c r="V39" s="6">
        <v>796</v>
      </c>
      <c r="W39" s="6">
        <v>181</v>
      </c>
      <c r="X39" s="6">
        <v>12</v>
      </c>
      <c r="Y39" s="6">
        <v>3965</v>
      </c>
      <c r="AA39" s="6" t="s">
        <v>32</v>
      </c>
      <c r="AB39" s="6">
        <v>63.32</v>
      </c>
      <c r="AC39" s="6">
        <v>5260</v>
      </c>
      <c r="AD39" s="6">
        <f>AE39+AF39+AG39+AH39</f>
        <v>4570</v>
      </c>
      <c r="AE39" s="6">
        <v>759</v>
      </c>
      <c r="AF39" s="6">
        <v>170</v>
      </c>
      <c r="AG39" s="6">
        <v>12</v>
      </c>
      <c r="AH39" s="6">
        <v>3629</v>
      </c>
      <c r="AJ39" s="6" t="s">
        <v>32</v>
      </c>
      <c r="AK39" s="6"/>
      <c r="AL39" s="6"/>
      <c r="AM39" s="6">
        <f>AN39+AO39+AP39+AQ39</f>
        <v>0</v>
      </c>
      <c r="AN39" s="6"/>
      <c r="AO39" s="6"/>
      <c r="AP39" s="6"/>
      <c r="AQ39" s="6"/>
    </row>
    <row r="40" spans="1:43">
      <c r="A40" s="6" t="s">
        <v>12</v>
      </c>
      <c r="B40" s="26">
        <f>B39/B38*100</f>
        <v>38.955513765144737</v>
      </c>
      <c r="C40" s="26">
        <f t="shared" ref="C40:H40" si="57">C39/C38*100</f>
        <v>100.90556274256144</v>
      </c>
      <c r="D40" s="26">
        <f t="shared" si="57"/>
        <v>110.58634107070976</v>
      </c>
      <c r="E40" s="26">
        <f t="shared" si="57"/>
        <v>109.14326853851692</v>
      </c>
      <c r="F40" s="26">
        <f t="shared" si="57"/>
        <v>25.57427258805513</v>
      </c>
      <c r="G40" s="26">
        <f t="shared" si="57"/>
        <v>19.718309859154928</v>
      </c>
      <c r="H40" s="26">
        <f t="shared" si="57"/>
        <v>158.86433710174717</v>
      </c>
      <c r="J40" s="6" t="s">
        <v>12</v>
      </c>
      <c r="K40" s="26">
        <f>K39/K38*100</f>
        <v>62.057071182188771</v>
      </c>
      <c r="L40" s="26">
        <f t="shared" ref="L40:Q40" si="58">L39/L38*100</f>
        <v>102.28571428571429</v>
      </c>
      <c r="M40" s="26">
        <f t="shared" si="58"/>
        <v>117.17747683535282</v>
      </c>
      <c r="N40" s="26">
        <f t="shared" si="58"/>
        <v>233.76623376623377</v>
      </c>
      <c r="O40" s="26">
        <f t="shared" si="58"/>
        <v>31.496062992125985</v>
      </c>
      <c r="P40" s="26">
        <f t="shared" si="58"/>
        <v>29.702970297029701</v>
      </c>
      <c r="Q40" s="26">
        <f t="shared" si="58"/>
        <v>160.60825488776248</v>
      </c>
      <c r="R40" s="6" t="s">
        <v>12</v>
      </c>
      <c r="S40" s="26">
        <f>S39/S38*100</f>
        <v>41.84259837601499</v>
      </c>
      <c r="T40" s="26">
        <f t="shared" ref="T40:Y40" si="59">T39/T38*100</f>
        <v>107.71524412970554</v>
      </c>
      <c r="U40" s="26">
        <f t="shared" si="59"/>
        <v>111.02644554011654</v>
      </c>
      <c r="V40" s="26">
        <f t="shared" si="59"/>
        <v>73.635522664199812</v>
      </c>
      <c r="W40" s="26">
        <f t="shared" si="59"/>
        <v>19.194061505832451</v>
      </c>
      <c r="X40" s="26">
        <f t="shared" si="59"/>
        <v>10.714285714285714</v>
      </c>
      <c r="Y40" s="26">
        <f t="shared" si="59"/>
        <v>170.46431642304384</v>
      </c>
      <c r="AA40" s="6" t="s">
        <v>12</v>
      </c>
      <c r="AB40" s="26">
        <f>AB39/AB38*100</f>
        <v>123.19066147859922</v>
      </c>
      <c r="AC40" s="26">
        <f t="shared" ref="AC40:AH40" si="60">AC39/AC38*100</f>
        <v>170.11642949547218</v>
      </c>
      <c r="AD40" s="26">
        <f t="shared" si="60"/>
        <v>41.888175985334556</v>
      </c>
      <c r="AE40" s="26">
        <f t="shared" si="60"/>
        <v>94.638403990024926</v>
      </c>
      <c r="AF40" s="26">
        <f t="shared" si="60"/>
        <v>1.9351166761525329</v>
      </c>
      <c r="AG40" s="26">
        <f t="shared" si="60"/>
        <v>17.910447761194028</v>
      </c>
      <c r="AH40" s="26">
        <f t="shared" si="60"/>
        <v>288.93312101910828</v>
      </c>
      <c r="AJ40" s="6" t="s">
        <v>12</v>
      </c>
      <c r="AK40" s="26">
        <f>AK39/AK38*100</f>
        <v>0</v>
      </c>
      <c r="AL40" s="26">
        <f t="shared" ref="AL40:AQ40" si="61">AL39/AL38*100</f>
        <v>0</v>
      </c>
      <c r="AM40" s="26">
        <f t="shared" si="61"/>
        <v>0</v>
      </c>
      <c r="AN40" s="26" t="e">
        <f t="shared" si="61"/>
        <v>#DIV/0!</v>
      </c>
      <c r="AO40" s="26" t="e">
        <f t="shared" si="61"/>
        <v>#DIV/0!</v>
      </c>
      <c r="AP40" s="26" t="e">
        <f t="shared" si="61"/>
        <v>#DIV/0!</v>
      </c>
      <c r="AQ40" s="26">
        <f t="shared" si="61"/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79" t="s">
        <v>0</v>
      </c>
      <c r="B43" s="79" t="s">
        <v>1</v>
      </c>
      <c r="C43" s="79" t="s">
        <v>2</v>
      </c>
      <c r="D43" s="79" t="s">
        <v>3</v>
      </c>
      <c r="E43" s="79" t="s">
        <v>4</v>
      </c>
      <c r="F43" s="79" t="s">
        <v>5</v>
      </c>
      <c r="G43" s="79" t="s">
        <v>6</v>
      </c>
      <c r="H43" s="79" t="s">
        <v>7</v>
      </c>
    </row>
    <row r="44" spans="1:43">
      <c r="A44" s="80"/>
      <c r="B44" s="80" t="s">
        <v>8</v>
      </c>
      <c r="C44" s="80" t="s">
        <v>9</v>
      </c>
      <c r="D44" s="80" t="s">
        <v>10</v>
      </c>
      <c r="E44" s="80" t="s">
        <v>9</v>
      </c>
      <c r="F44" s="80" t="s">
        <v>9</v>
      </c>
      <c r="G44" s="80" t="s">
        <v>9</v>
      </c>
      <c r="H44" s="80" t="s">
        <v>9</v>
      </c>
    </row>
    <row r="45" spans="1:43">
      <c r="A45" s="81" t="s">
        <v>17</v>
      </c>
      <c r="B45" s="190"/>
      <c r="C45" s="191"/>
      <c r="D45" s="190"/>
      <c r="E45" s="190"/>
      <c r="F45" s="190"/>
      <c r="G45" s="190"/>
      <c r="H45" s="192"/>
    </row>
    <row r="46" spans="1:43">
      <c r="A46" s="82" t="s">
        <v>40</v>
      </c>
      <c r="B46" s="83">
        <f t="shared" ref="B46:H47" si="62">K9+S9+AK9</f>
        <v>909.23</v>
      </c>
      <c r="C46" s="83">
        <f t="shared" si="62"/>
        <v>44993</v>
      </c>
      <c r="D46" s="83">
        <f t="shared" si="62"/>
        <v>37983</v>
      </c>
      <c r="E46" s="83">
        <f t="shared" si="62"/>
        <v>5300</v>
      </c>
      <c r="F46" s="83">
        <f t="shared" si="62"/>
        <v>6770</v>
      </c>
      <c r="G46" s="83">
        <f t="shared" si="62"/>
        <v>918</v>
      </c>
      <c r="H46" s="83">
        <f t="shared" si="62"/>
        <v>24995</v>
      </c>
    </row>
    <row r="47" spans="1:43">
      <c r="A47" s="84" t="s">
        <v>50</v>
      </c>
      <c r="B47" s="83">
        <f t="shared" si="62"/>
        <v>670.00000000000011</v>
      </c>
      <c r="C47" s="83">
        <f t="shared" si="62"/>
        <v>41730</v>
      </c>
      <c r="D47" s="83">
        <f t="shared" si="62"/>
        <v>38442</v>
      </c>
      <c r="E47" s="83">
        <f t="shared" si="62"/>
        <v>11752</v>
      </c>
      <c r="F47" s="83">
        <f t="shared" si="62"/>
        <v>2627</v>
      </c>
      <c r="G47" s="83">
        <f t="shared" si="62"/>
        <v>540</v>
      </c>
      <c r="H47" s="83">
        <f t="shared" si="62"/>
        <v>23523</v>
      </c>
      <c r="K47" s="25"/>
      <c r="L47" s="25"/>
      <c r="M47" s="25"/>
      <c r="N47" s="25"/>
      <c r="O47" s="25"/>
      <c r="P47" s="25"/>
      <c r="Q47" s="25"/>
      <c r="S47" s="25"/>
      <c r="T47" s="25"/>
      <c r="U47" s="25"/>
      <c r="V47" s="25"/>
      <c r="W47" s="25"/>
      <c r="X47" s="25"/>
      <c r="Y47" s="25"/>
      <c r="AB47" s="25"/>
      <c r="AC47" s="25"/>
      <c r="AD47" s="25"/>
      <c r="AE47" s="25"/>
      <c r="AF47" s="25"/>
      <c r="AG47" s="25"/>
      <c r="AH47" s="25"/>
    </row>
    <row r="48" spans="1:43">
      <c r="A48" s="85" t="s">
        <v>44</v>
      </c>
      <c r="B48" s="86">
        <f>B47/B46*100</f>
        <v>73.688725624979384</v>
      </c>
      <c r="C48" s="86">
        <f t="shared" ref="C48:H48" si="63">C47/C46*100</f>
        <v>92.747760762785319</v>
      </c>
      <c r="D48" s="86">
        <f t="shared" si="63"/>
        <v>101.20843535265777</v>
      </c>
      <c r="E48" s="86">
        <f t="shared" si="63"/>
        <v>221.7358490566038</v>
      </c>
      <c r="F48" s="86">
        <f t="shared" si="63"/>
        <v>38.80354505169867</v>
      </c>
      <c r="G48" s="86">
        <f t="shared" si="63"/>
        <v>58.82352941176471</v>
      </c>
      <c r="H48" s="86">
        <f t="shared" si="63"/>
        <v>94.110822164432889</v>
      </c>
    </row>
    <row r="49" spans="1:34">
      <c r="A49" s="87" t="s">
        <v>11</v>
      </c>
      <c r="B49" s="88"/>
      <c r="C49" s="88"/>
      <c r="D49" s="88"/>
      <c r="E49" s="88"/>
      <c r="F49" s="88"/>
      <c r="G49" s="88"/>
      <c r="H49" s="89"/>
    </row>
    <row r="50" spans="1:34">
      <c r="A50" s="75" t="s">
        <v>40</v>
      </c>
      <c r="B50" s="90">
        <f t="shared" ref="B50:H51" si="64">K13+S13+AK13</f>
        <v>0.6</v>
      </c>
      <c r="C50" s="90">
        <f t="shared" si="64"/>
        <v>3</v>
      </c>
      <c r="D50" s="90">
        <f t="shared" si="64"/>
        <v>2</v>
      </c>
      <c r="E50" s="90">
        <f t="shared" si="64"/>
        <v>1</v>
      </c>
      <c r="F50" s="90">
        <f t="shared" si="64"/>
        <v>0</v>
      </c>
      <c r="G50" s="90">
        <f t="shared" si="64"/>
        <v>0</v>
      </c>
      <c r="H50" s="90">
        <f t="shared" si="64"/>
        <v>1</v>
      </c>
    </row>
    <row r="51" spans="1:34">
      <c r="A51" s="75" t="s">
        <v>50</v>
      </c>
      <c r="B51" s="90">
        <f t="shared" si="64"/>
        <v>0</v>
      </c>
      <c r="C51" s="90">
        <f t="shared" si="64"/>
        <v>0</v>
      </c>
      <c r="D51" s="90">
        <f t="shared" si="64"/>
        <v>0</v>
      </c>
      <c r="E51" s="90">
        <f t="shared" si="64"/>
        <v>0</v>
      </c>
      <c r="F51" s="90">
        <f t="shared" si="64"/>
        <v>0</v>
      </c>
      <c r="G51" s="90">
        <f t="shared" si="64"/>
        <v>0</v>
      </c>
      <c r="H51" s="90">
        <f t="shared" si="64"/>
        <v>0</v>
      </c>
    </row>
    <row r="52" spans="1:34">
      <c r="A52" s="75" t="s">
        <v>44</v>
      </c>
      <c r="B52" s="91">
        <f t="shared" ref="B52:H52" si="65">B51/B50*100</f>
        <v>0</v>
      </c>
      <c r="C52" s="91">
        <f t="shared" si="65"/>
        <v>0</v>
      </c>
      <c r="D52" s="91">
        <f t="shared" si="65"/>
        <v>0</v>
      </c>
      <c r="E52" s="91">
        <f t="shared" si="65"/>
        <v>0</v>
      </c>
      <c r="F52" s="91" t="e">
        <f t="shared" si="65"/>
        <v>#DIV/0!</v>
      </c>
      <c r="G52" s="91" t="e">
        <f t="shared" si="65"/>
        <v>#DIV/0!</v>
      </c>
      <c r="H52" s="91">
        <f t="shared" si="65"/>
        <v>0</v>
      </c>
      <c r="K52" s="25"/>
      <c r="L52" s="25"/>
      <c r="M52" s="25"/>
      <c r="N52" s="25"/>
      <c r="O52" s="25"/>
      <c r="P52" s="25"/>
      <c r="Q52" s="25"/>
      <c r="S52" s="25"/>
      <c r="T52" s="25"/>
      <c r="U52" s="25"/>
      <c r="V52" s="25"/>
      <c r="W52" s="25"/>
      <c r="X52" s="25"/>
      <c r="Y52" s="25"/>
      <c r="AB52" s="25"/>
      <c r="AC52" s="25"/>
      <c r="AD52" s="25"/>
      <c r="AE52" s="25"/>
      <c r="AF52" s="25"/>
      <c r="AG52" s="25"/>
      <c r="AH52" s="25"/>
    </row>
    <row r="53" spans="1:34">
      <c r="A53" s="75" t="s">
        <v>13</v>
      </c>
      <c r="B53" s="90">
        <f t="shared" ref="B53:H55" si="66">K16+S16+AK16</f>
        <v>0</v>
      </c>
      <c r="C53" s="90">
        <f t="shared" si="66"/>
        <v>0</v>
      </c>
      <c r="D53" s="90">
        <f t="shared" si="66"/>
        <v>0</v>
      </c>
      <c r="E53" s="90">
        <f t="shared" si="66"/>
        <v>0</v>
      </c>
      <c r="F53" s="90">
        <f t="shared" si="66"/>
        <v>0</v>
      </c>
      <c r="G53" s="90">
        <f t="shared" si="66"/>
        <v>0</v>
      </c>
      <c r="H53" s="90">
        <f t="shared" si="66"/>
        <v>0</v>
      </c>
    </row>
    <row r="54" spans="1:34">
      <c r="A54" s="92" t="s">
        <v>14</v>
      </c>
      <c r="B54" s="90">
        <f t="shared" si="66"/>
        <v>0</v>
      </c>
      <c r="C54" s="90">
        <f t="shared" si="66"/>
        <v>0</v>
      </c>
      <c r="D54" s="90">
        <f t="shared" si="66"/>
        <v>0</v>
      </c>
      <c r="E54" s="90">
        <f t="shared" si="66"/>
        <v>0</v>
      </c>
      <c r="F54" s="90">
        <f t="shared" si="66"/>
        <v>0</v>
      </c>
      <c r="G54" s="90">
        <f t="shared" si="66"/>
        <v>0</v>
      </c>
      <c r="H54" s="90">
        <f t="shared" si="66"/>
        <v>0</v>
      </c>
    </row>
    <row r="55" spans="1:34">
      <c r="A55" s="75" t="s">
        <v>15</v>
      </c>
      <c r="B55" s="90">
        <f t="shared" si="66"/>
        <v>0</v>
      </c>
      <c r="C55" s="90">
        <f t="shared" si="66"/>
        <v>0</v>
      </c>
      <c r="D55" s="90">
        <f t="shared" si="66"/>
        <v>0</v>
      </c>
      <c r="E55" s="90">
        <f t="shared" si="66"/>
        <v>0</v>
      </c>
      <c r="F55" s="90">
        <f t="shared" si="66"/>
        <v>0</v>
      </c>
      <c r="G55" s="90">
        <f t="shared" si="66"/>
        <v>0</v>
      </c>
      <c r="H55" s="90">
        <f t="shared" si="66"/>
        <v>0</v>
      </c>
    </row>
    <row r="56" spans="1:34">
      <c r="A56" s="87" t="s">
        <v>16</v>
      </c>
      <c r="B56" s="88"/>
      <c r="C56" s="88"/>
      <c r="D56" s="88"/>
      <c r="E56" s="88"/>
      <c r="F56" s="88"/>
      <c r="G56" s="88"/>
      <c r="H56" s="89"/>
    </row>
    <row r="57" spans="1:34">
      <c r="A57" s="75" t="s">
        <v>40</v>
      </c>
      <c r="B57" s="90">
        <f t="shared" ref="B57:H58" si="67">K20+S20+AK20</f>
        <v>908.63</v>
      </c>
      <c r="C57" s="90">
        <f t="shared" si="67"/>
        <v>44990</v>
      </c>
      <c r="D57" s="90">
        <f t="shared" si="67"/>
        <v>37981</v>
      </c>
      <c r="E57" s="90">
        <f t="shared" si="67"/>
        <v>5299</v>
      </c>
      <c r="F57" s="90">
        <f t="shared" si="67"/>
        <v>6770</v>
      </c>
      <c r="G57" s="90">
        <f t="shared" si="67"/>
        <v>918</v>
      </c>
      <c r="H57" s="90">
        <f t="shared" si="67"/>
        <v>24994</v>
      </c>
    </row>
    <row r="58" spans="1:34">
      <c r="A58" s="92" t="s">
        <v>50</v>
      </c>
      <c r="B58" s="90">
        <f t="shared" si="67"/>
        <v>670.00000000000011</v>
      </c>
      <c r="C58" s="90">
        <f t="shared" si="67"/>
        <v>41730</v>
      </c>
      <c r="D58" s="90">
        <f t="shared" si="67"/>
        <v>38442</v>
      </c>
      <c r="E58" s="90">
        <f t="shared" si="67"/>
        <v>11752</v>
      </c>
      <c r="F58" s="90">
        <f t="shared" si="67"/>
        <v>2627</v>
      </c>
      <c r="G58" s="90">
        <f t="shared" si="67"/>
        <v>540</v>
      </c>
      <c r="H58" s="90">
        <f t="shared" si="67"/>
        <v>23523</v>
      </c>
    </row>
    <row r="59" spans="1:34">
      <c r="A59" s="75" t="s">
        <v>44</v>
      </c>
      <c r="B59" s="91">
        <f t="shared" ref="B59:H59" si="68">B58/B57*100</f>
        <v>73.737384854121061</v>
      </c>
      <c r="C59" s="91">
        <f t="shared" si="68"/>
        <v>92.753945321182485</v>
      </c>
      <c r="D59" s="91">
        <f t="shared" si="68"/>
        <v>101.21376477712541</v>
      </c>
      <c r="E59" s="91">
        <f t="shared" si="68"/>
        <v>221.77769390451027</v>
      </c>
      <c r="F59" s="91">
        <f t="shared" si="68"/>
        <v>38.80354505169867</v>
      </c>
      <c r="G59" s="91">
        <f t="shared" si="68"/>
        <v>58.82352941176471</v>
      </c>
      <c r="H59" s="91">
        <f t="shared" si="68"/>
        <v>94.11458750100023</v>
      </c>
    </row>
    <row r="60" spans="1:34">
      <c r="A60" s="75" t="s">
        <v>21</v>
      </c>
      <c r="B60" s="90">
        <f t="shared" ref="B60:H61" si="69">K23+S23+AK23</f>
        <v>0</v>
      </c>
      <c r="C60" s="90">
        <f t="shared" si="69"/>
        <v>0</v>
      </c>
      <c r="D60" s="90">
        <f t="shared" si="69"/>
        <v>0</v>
      </c>
      <c r="E60" s="90">
        <f t="shared" si="69"/>
        <v>0</v>
      </c>
      <c r="F60" s="90">
        <f t="shared" si="69"/>
        <v>0</v>
      </c>
      <c r="G60" s="90">
        <f t="shared" si="69"/>
        <v>0</v>
      </c>
      <c r="H60" s="90">
        <f t="shared" si="69"/>
        <v>0</v>
      </c>
    </row>
    <row r="61" spans="1:34">
      <c r="A61" s="75" t="s">
        <v>51</v>
      </c>
      <c r="B61" s="90">
        <f t="shared" si="69"/>
        <v>0</v>
      </c>
      <c r="C61" s="90">
        <f t="shared" si="69"/>
        <v>0</v>
      </c>
      <c r="D61" s="90">
        <f t="shared" si="69"/>
        <v>0</v>
      </c>
      <c r="E61" s="90">
        <f t="shared" si="69"/>
        <v>0</v>
      </c>
      <c r="F61" s="90">
        <f t="shared" si="69"/>
        <v>0</v>
      </c>
      <c r="G61" s="90">
        <f t="shared" si="69"/>
        <v>0</v>
      </c>
      <c r="H61" s="90">
        <f t="shared" si="69"/>
        <v>0</v>
      </c>
      <c r="K61" s="25"/>
      <c r="L61" s="25"/>
      <c r="M61" s="25"/>
      <c r="N61" s="25"/>
      <c r="O61" s="25"/>
      <c r="P61" s="25"/>
      <c r="Q61" s="25"/>
    </row>
    <row r="62" spans="1:34">
      <c r="A62" s="75" t="s">
        <v>12</v>
      </c>
      <c r="B62" s="91" t="e">
        <f t="shared" ref="B62:H62" si="70">B61/B60*100</f>
        <v>#DIV/0!</v>
      </c>
      <c r="C62" s="91" t="e">
        <f t="shared" si="70"/>
        <v>#DIV/0!</v>
      </c>
      <c r="D62" s="91" t="e">
        <f t="shared" si="70"/>
        <v>#DIV/0!</v>
      </c>
      <c r="E62" s="91" t="e">
        <f t="shared" si="70"/>
        <v>#DIV/0!</v>
      </c>
      <c r="F62" s="91" t="e">
        <f t="shared" si="70"/>
        <v>#DIV/0!</v>
      </c>
      <c r="G62" s="91" t="e">
        <f t="shared" si="70"/>
        <v>#DIV/0!</v>
      </c>
      <c r="H62" s="91" t="e">
        <f t="shared" si="70"/>
        <v>#DIV/0!</v>
      </c>
    </row>
    <row r="63" spans="1:34">
      <c r="A63" s="75" t="s">
        <v>23</v>
      </c>
      <c r="B63" s="90">
        <f t="shared" ref="B63:H64" si="71">K26+S26+AK26</f>
        <v>61.68</v>
      </c>
      <c r="C63" s="90">
        <f t="shared" si="71"/>
        <v>6439</v>
      </c>
      <c r="D63" s="90">
        <f t="shared" si="71"/>
        <v>5559</v>
      </c>
      <c r="E63" s="90">
        <f t="shared" si="71"/>
        <v>1087</v>
      </c>
      <c r="F63" s="90">
        <f t="shared" si="71"/>
        <v>575</v>
      </c>
      <c r="G63" s="90">
        <f t="shared" si="71"/>
        <v>212</v>
      </c>
      <c r="H63" s="90">
        <f t="shared" si="71"/>
        <v>3685</v>
      </c>
    </row>
    <row r="64" spans="1:34">
      <c r="A64" s="75" t="s">
        <v>45</v>
      </c>
      <c r="B64" s="90">
        <f t="shared" si="71"/>
        <v>36.28</v>
      </c>
      <c r="C64" s="90">
        <f t="shared" si="71"/>
        <v>2100</v>
      </c>
      <c r="D64" s="90">
        <f t="shared" si="71"/>
        <v>1769</v>
      </c>
      <c r="E64" s="90">
        <f t="shared" si="71"/>
        <v>561</v>
      </c>
      <c r="F64" s="90">
        <f t="shared" si="71"/>
        <v>136</v>
      </c>
      <c r="G64" s="90">
        <f t="shared" si="71"/>
        <v>54</v>
      </c>
      <c r="H64" s="90">
        <f t="shared" si="71"/>
        <v>1018</v>
      </c>
    </row>
    <row r="65" spans="1:8">
      <c r="A65" s="75" t="s">
        <v>12</v>
      </c>
      <c r="B65" s="91">
        <f t="shared" ref="B65:H65" si="72">B64/B63*100</f>
        <v>58.819714656290536</v>
      </c>
      <c r="C65" s="91">
        <f t="shared" si="72"/>
        <v>32.613759900605679</v>
      </c>
      <c r="D65" s="91">
        <f t="shared" si="72"/>
        <v>31.822270192480662</v>
      </c>
      <c r="E65" s="91">
        <f t="shared" si="72"/>
        <v>51.609935602575895</v>
      </c>
      <c r="F65" s="91">
        <f t="shared" si="72"/>
        <v>23.652173913043477</v>
      </c>
      <c r="G65" s="91">
        <f t="shared" si="72"/>
        <v>25.471698113207548</v>
      </c>
      <c r="H65" s="91">
        <f t="shared" si="72"/>
        <v>27.62550881953867</v>
      </c>
    </row>
    <row r="66" spans="1:8">
      <c r="A66" s="75" t="s">
        <v>25</v>
      </c>
      <c r="B66" s="90">
        <f t="shared" ref="B66:H67" si="73">K29+S29+AK29</f>
        <v>484.55</v>
      </c>
      <c r="C66" s="90">
        <f t="shared" si="73"/>
        <v>25807</v>
      </c>
      <c r="D66" s="90">
        <f t="shared" si="73"/>
        <v>21925</v>
      </c>
      <c r="E66" s="90">
        <f t="shared" si="73"/>
        <v>2823</v>
      </c>
      <c r="F66" s="90">
        <f t="shared" si="73"/>
        <v>3369</v>
      </c>
      <c r="G66" s="90">
        <f t="shared" si="73"/>
        <v>221</v>
      </c>
      <c r="H66" s="90">
        <f t="shared" si="73"/>
        <v>15512</v>
      </c>
    </row>
    <row r="67" spans="1:8">
      <c r="A67" s="75" t="s">
        <v>46</v>
      </c>
      <c r="B67" s="90">
        <f t="shared" si="73"/>
        <v>486.66</v>
      </c>
      <c r="C67" s="90">
        <f t="shared" si="73"/>
        <v>28090</v>
      </c>
      <c r="D67" s="90">
        <f t="shared" si="73"/>
        <v>26475</v>
      </c>
      <c r="E67" s="90">
        <f t="shared" si="73"/>
        <v>9567</v>
      </c>
      <c r="F67" s="90">
        <f t="shared" si="73"/>
        <v>1557</v>
      </c>
      <c r="G67" s="90">
        <f t="shared" si="73"/>
        <v>20</v>
      </c>
      <c r="H67" s="90">
        <f t="shared" si="73"/>
        <v>15331</v>
      </c>
    </row>
    <row r="68" spans="1:8">
      <c r="A68" s="75" t="s">
        <v>12</v>
      </c>
      <c r="B68" s="91">
        <f t="shared" ref="B68:H68" si="74">B67/B66*100</f>
        <v>100.43545557733979</v>
      </c>
      <c r="C68" s="91">
        <f t="shared" si="74"/>
        <v>108.84643701321346</v>
      </c>
      <c r="D68" s="91">
        <f t="shared" si="74"/>
        <v>120.75256556442417</v>
      </c>
      <c r="E68" s="91">
        <f t="shared" si="74"/>
        <v>338.89479277364507</v>
      </c>
      <c r="F68" s="91">
        <f t="shared" si="74"/>
        <v>46.215494211932324</v>
      </c>
      <c r="G68" s="91">
        <f t="shared" si="74"/>
        <v>9.0497737556561084</v>
      </c>
      <c r="H68" s="91">
        <f t="shared" si="74"/>
        <v>98.833161423414126</v>
      </c>
    </row>
    <row r="69" spans="1:8">
      <c r="A69" s="75" t="s">
        <v>27</v>
      </c>
      <c r="B69" s="90">
        <f t="shared" ref="B69:H70" si="75">K32+S32+AK32</f>
        <v>0</v>
      </c>
      <c r="C69" s="90">
        <f t="shared" si="75"/>
        <v>0</v>
      </c>
      <c r="D69" s="90">
        <f t="shared" si="75"/>
        <v>0</v>
      </c>
      <c r="E69" s="90">
        <f t="shared" si="75"/>
        <v>0</v>
      </c>
      <c r="F69" s="90">
        <f t="shared" si="75"/>
        <v>0</v>
      </c>
      <c r="G69" s="90">
        <f t="shared" si="75"/>
        <v>0</v>
      </c>
      <c r="H69" s="90">
        <f t="shared" si="75"/>
        <v>0</v>
      </c>
    </row>
    <row r="70" spans="1:8">
      <c r="A70" s="75" t="s">
        <v>47</v>
      </c>
      <c r="B70" s="90">
        <f t="shared" si="75"/>
        <v>0</v>
      </c>
      <c r="C70" s="90">
        <f t="shared" si="75"/>
        <v>0</v>
      </c>
      <c r="D70" s="90">
        <f t="shared" si="75"/>
        <v>0</v>
      </c>
      <c r="E70" s="90">
        <f t="shared" si="75"/>
        <v>0</v>
      </c>
      <c r="F70" s="90">
        <f t="shared" si="75"/>
        <v>0</v>
      </c>
      <c r="G70" s="90">
        <f t="shared" si="75"/>
        <v>0</v>
      </c>
      <c r="H70" s="90">
        <f t="shared" si="75"/>
        <v>0</v>
      </c>
    </row>
    <row r="71" spans="1:8">
      <c r="A71" s="75" t="s">
        <v>12</v>
      </c>
      <c r="B71" s="91" t="e">
        <f t="shared" ref="B71:H71" si="76">B70/B69*100</f>
        <v>#DIV/0!</v>
      </c>
      <c r="C71" s="91" t="e">
        <f t="shared" si="76"/>
        <v>#DIV/0!</v>
      </c>
      <c r="D71" s="91" t="e">
        <f t="shared" si="76"/>
        <v>#DIV/0!</v>
      </c>
      <c r="E71" s="91" t="e">
        <f t="shared" si="76"/>
        <v>#DIV/0!</v>
      </c>
      <c r="F71" s="91" t="e">
        <f t="shared" si="76"/>
        <v>#DIV/0!</v>
      </c>
      <c r="G71" s="91" t="e">
        <f t="shared" si="76"/>
        <v>#DIV/0!</v>
      </c>
      <c r="H71" s="91" t="e">
        <f t="shared" si="76"/>
        <v>#DIV/0!</v>
      </c>
    </row>
    <row r="72" spans="1:8">
      <c r="A72" s="75" t="s">
        <v>29</v>
      </c>
      <c r="B72" s="90">
        <f t="shared" ref="B72:H73" si="77">K35+S35+AK35</f>
        <v>38.03</v>
      </c>
      <c r="C72" s="90">
        <f t="shared" si="77"/>
        <v>3468</v>
      </c>
      <c r="D72" s="90">
        <f t="shared" si="77"/>
        <v>3044</v>
      </c>
      <c r="E72" s="90">
        <f t="shared" si="77"/>
        <v>0</v>
      </c>
      <c r="F72" s="90">
        <f t="shared" si="77"/>
        <v>867</v>
      </c>
      <c r="G72" s="90">
        <f t="shared" si="77"/>
        <v>272</v>
      </c>
      <c r="H72" s="90">
        <f t="shared" si="77"/>
        <v>1905</v>
      </c>
    </row>
    <row r="73" spans="1:8">
      <c r="A73" s="75" t="s">
        <v>48</v>
      </c>
      <c r="B73" s="90">
        <f t="shared" si="77"/>
        <v>20.7</v>
      </c>
      <c r="C73" s="90">
        <f t="shared" si="77"/>
        <v>2180</v>
      </c>
      <c r="D73" s="90">
        <f t="shared" si="77"/>
        <v>1956</v>
      </c>
      <c r="E73" s="90">
        <f t="shared" si="77"/>
        <v>108</v>
      </c>
      <c r="F73" s="90">
        <f t="shared" si="77"/>
        <v>433</v>
      </c>
      <c r="G73" s="90">
        <f t="shared" si="77"/>
        <v>424</v>
      </c>
      <c r="H73" s="90">
        <f t="shared" si="77"/>
        <v>991</v>
      </c>
    </row>
    <row r="74" spans="1:8">
      <c r="A74" s="75" t="s">
        <v>12</v>
      </c>
      <c r="B74" s="91">
        <f t="shared" ref="B74:H74" si="78">B73/B72*100</f>
        <v>54.430712595319484</v>
      </c>
      <c r="C74" s="91">
        <f t="shared" si="78"/>
        <v>62.860438292964247</v>
      </c>
      <c r="D74" s="91">
        <f t="shared" si="78"/>
        <v>64.257555847568995</v>
      </c>
      <c r="E74" s="91" t="e">
        <f t="shared" si="78"/>
        <v>#DIV/0!</v>
      </c>
      <c r="F74" s="91">
        <f t="shared" si="78"/>
        <v>49.942329873125715</v>
      </c>
      <c r="G74" s="91">
        <f t="shared" si="78"/>
        <v>155.88235294117646</v>
      </c>
      <c r="H74" s="91">
        <f t="shared" si="78"/>
        <v>52.020997375328079</v>
      </c>
    </row>
    <row r="75" spans="1:8">
      <c r="A75" s="75" t="s">
        <v>31</v>
      </c>
      <c r="B75" s="90">
        <f t="shared" ref="B75:H76" si="79">K38+S38+AK38</f>
        <v>324.37</v>
      </c>
      <c r="C75" s="90">
        <f t="shared" si="79"/>
        <v>9276</v>
      </c>
      <c r="D75" s="90">
        <f t="shared" si="79"/>
        <v>7453</v>
      </c>
      <c r="E75" s="90">
        <f t="shared" si="79"/>
        <v>1389</v>
      </c>
      <c r="F75" s="90">
        <f t="shared" si="79"/>
        <v>1959</v>
      </c>
      <c r="G75" s="90">
        <f t="shared" si="79"/>
        <v>213</v>
      </c>
      <c r="H75" s="90">
        <f t="shared" si="79"/>
        <v>3892</v>
      </c>
    </row>
    <row r="76" spans="1:8">
      <c r="A76" s="75" t="s">
        <v>52</v>
      </c>
      <c r="B76" s="90">
        <f t="shared" si="79"/>
        <v>126.35999999999999</v>
      </c>
      <c r="C76" s="90">
        <f t="shared" si="79"/>
        <v>9360</v>
      </c>
      <c r="D76" s="90">
        <f t="shared" si="79"/>
        <v>8242</v>
      </c>
      <c r="E76" s="90">
        <f t="shared" si="79"/>
        <v>1516</v>
      </c>
      <c r="F76" s="90">
        <f t="shared" si="79"/>
        <v>501</v>
      </c>
      <c r="G76" s="90">
        <f t="shared" si="79"/>
        <v>42</v>
      </c>
      <c r="H76" s="90">
        <f t="shared" si="79"/>
        <v>6183</v>
      </c>
    </row>
    <row r="77" spans="1:8">
      <c r="A77" s="75" t="s">
        <v>12</v>
      </c>
      <c r="B77" s="91">
        <f t="shared" ref="B77:H77" si="80">B76/B75*100</f>
        <v>38.955513765144737</v>
      </c>
      <c r="C77" s="91">
        <f t="shared" si="80"/>
        <v>100.90556274256144</v>
      </c>
      <c r="D77" s="91">
        <f t="shared" si="80"/>
        <v>110.58634107070976</v>
      </c>
      <c r="E77" s="91">
        <f t="shared" si="80"/>
        <v>109.14326853851692</v>
      </c>
      <c r="F77" s="91">
        <f t="shared" si="80"/>
        <v>25.57427258805513</v>
      </c>
      <c r="G77" s="91">
        <f t="shared" si="80"/>
        <v>19.718309859154928</v>
      </c>
      <c r="H77" s="91">
        <f t="shared" si="80"/>
        <v>158.86433710174717</v>
      </c>
    </row>
    <row r="80" spans="1:8">
      <c r="A80" s="79" t="s">
        <v>0</v>
      </c>
      <c r="B80" s="79" t="s">
        <v>1</v>
      </c>
      <c r="C80" s="79" t="s">
        <v>2</v>
      </c>
      <c r="D80" s="79" t="s">
        <v>3</v>
      </c>
      <c r="E80" s="79" t="s">
        <v>4</v>
      </c>
      <c r="F80" s="79" t="s">
        <v>5</v>
      </c>
      <c r="G80" s="79" t="s">
        <v>6</v>
      </c>
      <c r="H80" s="79" t="s">
        <v>7</v>
      </c>
    </row>
    <row r="81" spans="1:8">
      <c r="A81" s="80"/>
      <c r="B81" s="80" t="s">
        <v>8</v>
      </c>
      <c r="C81" s="80" t="s">
        <v>9</v>
      </c>
      <c r="D81" s="80" t="s">
        <v>10</v>
      </c>
      <c r="E81" s="80" t="s">
        <v>9</v>
      </c>
      <c r="F81" s="80" t="s">
        <v>9</v>
      </c>
      <c r="G81" s="80" t="s">
        <v>9</v>
      </c>
      <c r="H81" s="80" t="s">
        <v>9</v>
      </c>
    </row>
    <row r="82" spans="1:8">
      <c r="A82" s="81" t="s">
        <v>17</v>
      </c>
      <c r="B82" s="190"/>
      <c r="C82" s="191"/>
      <c r="D82" s="190"/>
      <c r="E82" s="190"/>
      <c r="F82" s="190"/>
      <c r="G82" s="190"/>
      <c r="H82" s="192"/>
    </row>
    <row r="83" spans="1:8">
      <c r="A83" s="82" t="s">
        <v>40</v>
      </c>
      <c r="B83" s="83">
        <f t="shared" ref="B83:H98" si="81">B9-B46</f>
        <v>0</v>
      </c>
      <c r="C83" s="83">
        <f t="shared" si="81"/>
        <v>0</v>
      </c>
      <c r="D83" s="83">
        <f t="shared" si="81"/>
        <v>0</v>
      </c>
      <c r="E83" s="83">
        <f t="shared" si="81"/>
        <v>0</v>
      </c>
      <c r="F83" s="83">
        <f t="shared" si="81"/>
        <v>0</v>
      </c>
      <c r="G83" s="83">
        <f t="shared" si="81"/>
        <v>0</v>
      </c>
      <c r="H83" s="83">
        <f t="shared" si="81"/>
        <v>0</v>
      </c>
    </row>
    <row r="84" spans="1:8">
      <c r="A84" s="84" t="s">
        <v>50</v>
      </c>
      <c r="B84" s="83">
        <f t="shared" si="81"/>
        <v>0</v>
      </c>
      <c r="C84" s="83">
        <f t="shared" si="81"/>
        <v>0</v>
      </c>
      <c r="D84" s="83">
        <f t="shared" si="81"/>
        <v>0</v>
      </c>
      <c r="E84" s="83">
        <f t="shared" si="81"/>
        <v>0</v>
      </c>
      <c r="F84" s="83">
        <f t="shared" si="81"/>
        <v>0</v>
      </c>
      <c r="G84" s="83">
        <f t="shared" si="81"/>
        <v>0</v>
      </c>
      <c r="H84" s="83">
        <f t="shared" si="81"/>
        <v>0</v>
      </c>
    </row>
    <row r="85" spans="1:8">
      <c r="A85" s="85" t="s">
        <v>44</v>
      </c>
      <c r="B85" s="83">
        <f t="shared" si="81"/>
        <v>0</v>
      </c>
      <c r="C85" s="83">
        <f t="shared" si="81"/>
        <v>0</v>
      </c>
      <c r="D85" s="83">
        <f t="shared" si="81"/>
        <v>0</v>
      </c>
      <c r="E85" s="83">
        <f t="shared" si="81"/>
        <v>0</v>
      </c>
      <c r="F85" s="83">
        <f t="shared" si="81"/>
        <v>0</v>
      </c>
      <c r="G85" s="83">
        <f t="shared" si="81"/>
        <v>0</v>
      </c>
      <c r="H85" s="83">
        <f t="shared" si="81"/>
        <v>0</v>
      </c>
    </row>
    <row r="86" spans="1:8">
      <c r="A86" s="87" t="s">
        <v>11</v>
      </c>
      <c r="B86" s="83">
        <f t="shared" si="81"/>
        <v>0</v>
      </c>
      <c r="C86" s="83">
        <f t="shared" si="81"/>
        <v>0</v>
      </c>
      <c r="D86" s="83">
        <f t="shared" si="81"/>
        <v>0</v>
      </c>
      <c r="E86" s="83">
        <f t="shared" si="81"/>
        <v>0</v>
      </c>
      <c r="F86" s="83">
        <f t="shared" si="81"/>
        <v>0</v>
      </c>
      <c r="G86" s="83">
        <f t="shared" si="81"/>
        <v>0</v>
      </c>
      <c r="H86" s="83">
        <f t="shared" si="81"/>
        <v>0</v>
      </c>
    </row>
    <row r="87" spans="1:8">
      <c r="A87" s="75" t="s">
        <v>40</v>
      </c>
      <c r="B87" s="83">
        <f t="shared" si="81"/>
        <v>0</v>
      </c>
      <c r="C87" s="83">
        <f t="shared" si="81"/>
        <v>0</v>
      </c>
      <c r="D87" s="83">
        <f t="shared" si="81"/>
        <v>0</v>
      </c>
      <c r="E87" s="83">
        <f t="shared" si="81"/>
        <v>0</v>
      </c>
      <c r="F87" s="83">
        <f t="shared" si="81"/>
        <v>0</v>
      </c>
      <c r="G87" s="83">
        <f t="shared" si="81"/>
        <v>0</v>
      </c>
      <c r="H87" s="83">
        <f t="shared" si="81"/>
        <v>0</v>
      </c>
    </row>
    <row r="88" spans="1:8">
      <c r="A88" s="75" t="s">
        <v>50</v>
      </c>
      <c r="B88" s="83">
        <f t="shared" si="81"/>
        <v>0</v>
      </c>
      <c r="C88" s="83">
        <f t="shared" si="81"/>
        <v>0</v>
      </c>
      <c r="D88" s="83">
        <f t="shared" si="81"/>
        <v>0</v>
      </c>
      <c r="E88" s="83">
        <f t="shared" si="81"/>
        <v>0</v>
      </c>
      <c r="F88" s="83">
        <f t="shared" si="81"/>
        <v>0</v>
      </c>
      <c r="G88" s="83">
        <f t="shared" si="81"/>
        <v>0</v>
      </c>
      <c r="H88" s="83">
        <f t="shared" si="81"/>
        <v>0</v>
      </c>
    </row>
    <row r="89" spans="1:8">
      <c r="A89" s="75" t="s">
        <v>44</v>
      </c>
      <c r="B89" s="83">
        <f t="shared" si="81"/>
        <v>0</v>
      </c>
      <c r="C89" s="83">
        <f t="shared" si="81"/>
        <v>0</v>
      </c>
      <c r="D89" s="83">
        <f t="shared" si="81"/>
        <v>0</v>
      </c>
      <c r="E89" s="83">
        <f t="shared" si="81"/>
        <v>0</v>
      </c>
      <c r="F89" s="83" t="e">
        <f t="shared" si="81"/>
        <v>#DIV/0!</v>
      </c>
      <c r="G89" s="83" t="e">
        <f t="shared" si="81"/>
        <v>#DIV/0!</v>
      </c>
      <c r="H89" s="83">
        <f t="shared" si="81"/>
        <v>0</v>
      </c>
    </row>
    <row r="90" spans="1:8">
      <c r="A90" s="75" t="s">
        <v>13</v>
      </c>
      <c r="B90" s="83">
        <f t="shared" si="81"/>
        <v>0</v>
      </c>
      <c r="C90" s="83">
        <f t="shared" si="81"/>
        <v>0</v>
      </c>
      <c r="D90" s="83">
        <f t="shared" si="81"/>
        <v>0</v>
      </c>
      <c r="E90" s="83">
        <f t="shared" si="81"/>
        <v>0</v>
      </c>
      <c r="F90" s="83">
        <f t="shared" si="81"/>
        <v>0</v>
      </c>
      <c r="G90" s="83">
        <f t="shared" si="81"/>
        <v>0</v>
      </c>
      <c r="H90" s="83">
        <f t="shared" si="81"/>
        <v>0</v>
      </c>
    </row>
    <row r="91" spans="1:8">
      <c r="A91" s="92" t="s">
        <v>14</v>
      </c>
      <c r="B91" s="83">
        <f t="shared" si="81"/>
        <v>0</v>
      </c>
      <c r="C91" s="83">
        <f t="shared" si="81"/>
        <v>0</v>
      </c>
      <c r="D91" s="83">
        <f t="shared" si="81"/>
        <v>0</v>
      </c>
      <c r="E91" s="83">
        <f t="shared" si="81"/>
        <v>0</v>
      </c>
      <c r="F91" s="83">
        <f t="shared" si="81"/>
        <v>0</v>
      </c>
      <c r="G91" s="83">
        <f t="shared" si="81"/>
        <v>0</v>
      </c>
      <c r="H91" s="83">
        <f t="shared" si="81"/>
        <v>0</v>
      </c>
    </row>
    <row r="92" spans="1:8">
      <c r="A92" s="75" t="s">
        <v>15</v>
      </c>
      <c r="B92" s="83">
        <f t="shared" si="81"/>
        <v>0</v>
      </c>
      <c r="C92" s="83">
        <f t="shared" si="81"/>
        <v>0</v>
      </c>
      <c r="D92" s="83">
        <f t="shared" si="81"/>
        <v>0</v>
      </c>
      <c r="E92" s="83">
        <f t="shared" si="81"/>
        <v>0</v>
      </c>
      <c r="F92" s="83">
        <f t="shared" si="81"/>
        <v>0</v>
      </c>
      <c r="G92" s="83">
        <f t="shared" si="81"/>
        <v>0</v>
      </c>
      <c r="H92" s="83">
        <f t="shared" si="81"/>
        <v>0</v>
      </c>
    </row>
    <row r="93" spans="1:8">
      <c r="A93" s="87" t="s">
        <v>16</v>
      </c>
      <c r="B93" s="83">
        <f t="shared" si="81"/>
        <v>0</v>
      </c>
      <c r="C93" s="83">
        <f t="shared" si="81"/>
        <v>0</v>
      </c>
      <c r="D93" s="83">
        <f t="shared" si="81"/>
        <v>0</v>
      </c>
      <c r="E93" s="83">
        <f t="shared" si="81"/>
        <v>0</v>
      </c>
      <c r="F93" s="83">
        <f t="shared" si="81"/>
        <v>0</v>
      </c>
      <c r="G93" s="83">
        <f t="shared" si="81"/>
        <v>0</v>
      </c>
      <c r="H93" s="83">
        <f t="shared" si="81"/>
        <v>0</v>
      </c>
    </row>
    <row r="94" spans="1:8">
      <c r="A94" s="75" t="s">
        <v>40</v>
      </c>
      <c r="B94" s="83">
        <f t="shared" si="81"/>
        <v>0</v>
      </c>
      <c r="C94" s="83">
        <f t="shared" si="81"/>
        <v>0</v>
      </c>
      <c r="D94" s="83">
        <f t="shared" si="81"/>
        <v>0</v>
      </c>
      <c r="E94" s="83">
        <f t="shared" si="81"/>
        <v>0</v>
      </c>
      <c r="F94" s="83">
        <f t="shared" si="81"/>
        <v>0</v>
      </c>
      <c r="G94" s="83">
        <f t="shared" si="81"/>
        <v>0</v>
      </c>
      <c r="H94" s="83">
        <f t="shared" si="81"/>
        <v>0</v>
      </c>
    </row>
    <row r="95" spans="1:8">
      <c r="A95" s="92" t="s">
        <v>50</v>
      </c>
      <c r="B95" s="83">
        <f t="shared" si="81"/>
        <v>0</v>
      </c>
      <c r="C95" s="83">
        <f t="shared" si="81"/>
        <v>0</v>
      </c>
      <c r="D95" s="83">
        <f t="shared" si="81"/>
        <v>0</v>
      </c>
      <c r="E95" s="83">
        <f t="shared" si="81"/>
        <v>0</v>
      </c>
      <c r="F95" s="83">
        <f t="shared" si="81"/>
        <v>0</v>
      </c>
      <c r="G95" s="83">
        <f t="shared" si="81"/>
        <v>0</v>
      </c>
      <c r="H95" s="83">
        <f t="shared" si="81"/>
        <v>0</v>
      </c>
    </row>
    <row r="96" spans="1:8">
      <c r="A96" s="75" t="s">
        <v>44</v>
      </c>
      <c r="B96" s="83">
        <f t="shared" si="81"/>
        <v>0</v>
      </c>
      <c r="C96" s="83">
        <f t="shared" si="81"/>
        <v>0</v>
      </c>
      <c r="D96" s="83">
        <f t="shared" si="81"/>
        <v>0</v>
      </c>
      <c r="E96" s="83">
        <f t="shared" si="81"/>
        <v>0</v>
      </c>
      <c r="F96" s="83">
        <f t="shared" si="81"/>
        <v>0</v>
      </c>
      <c r="G96" s="83">
        <f t="shared" si="81"/>
        <v>0</v>
      </c>
      <c r="H96" s="83">
        <f t="shared" si="81"/>
        <v>0</v>
      </c>
    </row>
    <row r="97" spans="1:8">
      <c r="A97" s="75" t="s">
        <v>21</v>
      </c>
      <c r="B97" s="83">
        <f t="shared" si="81"/>
        <v>0</v>
      </c>
      <c r="C97" s="83">
        <f t="shared" si="81"/>
        <v>0</v>
      </c>
      <c r="D97" s="83">
        <f t="shared" si="81"/>
        <v>0</v>
      </c>
      <c r="E97" s="83">
        <f t="shared" si="81"/>
        <v>0</v>
      </c>
      <c r="F97" s="83">
        <f t="shared" si="81"/>
        <v>0</v>
      </c>
      <c r="G97" s="83">
        <f t="shared" si="81"/>
        <v>0</v>
      </c>
      <c r="H97" s="83">
        <f t="shared" si="81"/>
        <v>0</v>
      </c>
    </row>
    <row r="98" spans="1:8">
      <c r="A98" s="75" t="s">
        <v>51</v>
      </c>
      <c r="B98" s="83">
        <f t="shared" si="81"/>
        <v>0</v>
      </c>
      <c r="C98" s="83">
        <f t="shared" si="81"/>
        <v>0</v>
      </c>
      <c r="D98" s="83">
        <f t="shared" si="81"/>
        <v>0</v>
      </c>
      <c r="E98" s="83">
        <f t="shared" si="81"/>
        <v>0</v>
      </c>
      <c r="F98" s="83">
        <f t="shared" si="81"/>
        <v>0</v>
      </c>
      <c r="G98" s="83">
        <f t="shared" si="81"/>
        <v>0</v>
      </c>
      <c r="H98" s="83">
        <f t="shared" si="81"/>
        <v>0</v>
      </c>
    </row>
    <row r="99" spans="1:8">
      <c r="A99" s="75" t="s">
        <v>12</v>
      </c>
      <c r="B99" s="83" t="e">
        <f t="shared" ref="B99:H114" si="82">B25-B62</f>
        <v>#DIV/0!</v>
      </c>
      <c r="C99" s="83" t="e">
        <f t="shared" si="82"/>
        <v>#DIV/0!</v>
      </c>
      <c r="D99" s="83" t="e">
        <f t="shared" si="82"/>
        <v>#DIV/0!</v>
      </c>
      <c r="E99" s="83" t="e">
        <f t="shared" si="82"/>
        <v>#DIV/0!</v>
      </c>
      <c r="F99" s="83" t="e">
        <f t="shared" si="82"/>
        <v>#DIV/0!</v>
      </c>
      <c r="G99" s="83" t="e">
        <f t="shared" si="82"/>
        <v>#DIV/0!</v>
      </c>
      <c r="H99" s="83" t="e">
        <f t="shared" si="82"/>
        <v>#DIV/0!</v>
      </c>
    </row>
    <row r="100" spans="1:8">
      <c r="A100" s="75" t="s">
        <v>23</v>
      </c>
      <c r="B100" s="83">
        <f t="shared" si="82"/>
        <v>0</v>
      </c>
      <c r="C100" s="83">
        <f t="shared" si="82"/>
        <v>0</v>
      </c>
      <c r="D100" s="83">
        <f t="shared" si="82"/>
        <v>0</v>
      </c>
      <c r="E100" s="83">
        <f t="shared" si="82"/>
        <v>0</v>
      </c>
      <c r="F100" s="83">
        <f t="shared" si="82"/>
        <v>0</v>
      </c>
      <c r="G100" s="83">
        <f t="shared" si="82"/>
        <v>0</v>
      </c>
      <c r="H100" s="83">
        <f t="shared" si="82"/>
        <v>0</v>
      </c>
    </row>
    <row r="101" spans="1:8">
      <c r="A101" s="75" t="s">
        <v>45</v>
      </c>
      <c r="B101" s="83">
        <f t="shared" si="82"/>
        <v>0</v>
      </c>
      <c r="C101" s="83">
        <f t="shared" si="82"/>
        <v>0</v>
      </c>
      <c r="D101" s="83">
        <f t="shared" si="82"/>
        <v>0</v>
      </c>
      <c r="E101" s="83">
        <f t="shared" si="82"/>
        <v>0</v>
      </c>
      <c r="F101" s="83">
        <f t="shared" si="82"/>
        <v>0</v>
      </c>
      <c r="G101" s="83">
        <f t="shared" si="82"/>
        <v>0</v>
      </c>
      <c r="H101" s="83">
        <f t="shared" si="82"/>
        <v>0</v>
      </c>
    </row>
    <row r="102" spans="1:8">
      <c r="A102" s="75" t="s">
        <v>12</v>
      </c>
      <c r="B102" s="83">
        <f t="shared" si="82"/>
        <v>0</v>
      </c>
      <c r="C102" s="83">
        <f t="shared" si="82"/>
        <v>0</v>
      </c>
      <c r="D102" s="83">
        <f t="shared" si="82"/>
        <v>0</v>
      </c>
      <c r="E102" s="83">
        <f t="shared" si="82"/>
        <v>0</v>
      </c>
      <c r="F102" s="83">
        <f t="shared" si="82"/>
        <v>0</v>
      </c>
      <c r="G102" s="83">
        <f t="shared" si="82"/>
        <v>0</v>
      </c>
      <c r="H102" s="83">
        <f t="shared" si="82"/>
        <v>0</v>
      </c>
    </row>
    <row r="103" spans="1:8">
      <c r="A103" s="75" t="s">
        <v>25</v>
      </c>
      <c r="B103" s="83">
        <f t="shared" si="82"/>
        <v>0</v>
      </c>
      <c r="C103" s="83">
        <f t="shared" si="82"/>
        <v>0</v>
      </c>
      <c r="D103" s="83">
        <f t="shared" si="82"/>
        <v>0</v>
      </c>
      <c r="E103" s="83">
        <f t="shared" si="82"/>
        <v>0</v>
      </c>
      <c r="F103" s="83">
        <f t="shared" si="82"/>
        <v>0</v>
      </c>
      <c r="G103" s="83">
        <f t="shared" si="82"/>
        <v>0</v>
      </c>
      <c r="H103" s="83">
        <f t="shared" si="82"/>
        <v>0</v>
      </c>
    </row>
    <row r="104" spans="1:8">
      <c r="A104" s="75" t="s">
        <v>46</v>
      </c>
      <c r="B104" s="83">
        <f t="shared" si="82"/>
        <v>0</v>
      </c>
      <c r="C104" s="83">
        <f t="shared" si="82"/>
        <v>0</v>
      </c>
      <c r="D104" s="83">
        <f t="shared" si="82"/>
        <v>0</v>
      </c>
      <c r="E104" s="83">
        <f t="shared" si="82"/>
        <v>0</v>
      </c>
      <c r="F104" s="83">
        <f t="shared" si="82"/>
        <v>0</v>
      </c>
      <c r="G104" s="83">
        <f t="shared" si="82"/>
        <v>0</v>
      </c>
      <c r="H104" s="83">
        <f t="shared" si="82"/>
        <v>0</v>
      </c>
    </row>
    <row r="105" spans="1:8">
      <c r="A105" s="75" t="s">
        <v>12</v>
      </c>
      <c r="B105" s="83">
        <f t="shared" si="82"/>
        <v>0</v>
      </c>
      <c r="C105" s="83">
        <f t="shared" si="82"/>
        <v>0</v>
      </c>
      <c r="D105" s="83">
        <f t="shared" si="82"/>
        <v>0</v>
      </c>
      <c r="E105" s="83">
        <f t="shared" si="82"/>
        <v>0</v>
      </c>
      <c r="F105" s="83">
        <f t="shared" si="82"/>
        <v>0</v>
      </c>
      <c r="G105" s="83">
        <f t="shared" si="82"/>
        <v>0</v>
      </c>
      <c r="H105" s="83">
        <f t="shared" si="82"/>
        <v>0</v>
      </c>
    </row>
    <row r="106" spans="1:8">
      <c r="A106" s="75" t="s">
        <v>27</v>
      </c>
      <c r="B106" s="83">
        <f t="shared" si="82"/>
        <v>0</v>
      </c>
      <c r="C106" s="83">
        <f t="shared" si="82"/>
        <v>0</v>
      </c>
      <c r="D106" s="83">
        <f t="shared" si="82"/>
        <v>0</v>
      </c>
      <c r="E106" s="83">
        <f t="shared" si="82"/>
        <v>0</v>
      </c>
      <c r="F106" s="83">
        <f t="shared" si="82"/>
        <v>0</v>
      </c>
      <c r="G106" s="83">
        <f t="shared" si="82"/>
        <v>0</v>
      </c>
      <c r="H106" s="83">
        <f t="shared" si="82"/>
        <v>0</v>
      </c>
    </row>
    <row r="107" spans="1:8">
      <c r="A107" s="75" t="s">
        <v>47</v>
      </c>
      <c r="B107" s="83">
        <f t="shared" si="82"/>
        <v>0</v>
      </c>
      <c r="C107" s="83">
        <f t="shared" si="82"/>
        <v>0</v>
      </c>
      <c r="D107" s="83">
        <f t="shared" si="82"/>
        <v>0</v>
      </c>
      <c r="E107" s="83">
        <f t="shared" si="82"/>
        <v>0</v>
      </c>
      <c r="F107" s="83">
        <f t="shared" si="82"/>
        <v>0</v>
      </c>
      <c r="G107" s="83">
        <f t="shared" si="82"/>
        <v>0</v>
      </c>
      <c r="H107" s="83">
        <f t="shared" si="82"/>
        <v>0</v>
      </c>
    </row>
    <row r="108" spans="1:8">
      <c r="A108" s="75" t="s">
        <v>12</v>
      </c>
      <c r="B108" s="83" t="e">
        <f t="shared" si="82"/>
        <v>#DIV/0!</v>
      </c>
      <c r="C108" s="83" t="e">
        <f t="shared" si="82"/>
        <v>#DIV/0!</v>
      </c>
      <c r="D108" s="83" t="e">
        <f t="shared" si="82"/>
        <v>#DIV/0!</v>
      </c>
      <c r="E108" s="83" t="e">
        <f t="shared" si="82"/>
        <v>#DIV/0!</v>
      </c>
      <c r="F108" s="83" t="e">
        <f t="shared" si="82"/>
        <v>#DIV/0!</v>
      </c>
      <c r="G108" s="83" t="e">
        <f t="shared" si="82"/>
        <v>#DIV/0!</v>
      </c>
      <c r="H108" s="83" t="e">
        <f t="shared" si="82"/>
        <v>#DIV/0!</v>
      </c>
    </row>
    <row r="109" spans="1:8">
      <c r="A109" s="75" t="s">
        <v>29</v>
      </c>
      <c r="B109" s="83">
        <f t="shared" si="82"/>
        <v>0</v>
      </c>
      <c r="C109" s="83">
        <f t="shared" si="82"/>
        <v>0</v>
      </c>
      <c r="D109" s="83">
        <f t="shared" si="82"/>
        <v>0</v>
      </c>
      <c r="E109" s="83">
        <f t="shared" si="82"/>
        <v>0</v>
      </c>
      <c r="F109" s="83">
        <f t="shared" si="82"/>
        <v>0</v>
      </c>
      <c r="G109" s="83">
        <f t="shared" si="82"/>
        <v>0</v>
      </c>
      <c r="H109" s="83">
        <f t="shared" si="82"/>
        <v>0</v>
      </c>
    </row>
    <row r="110" spans="1:8">
      <c r="A110" s="75" t="s">
        <v>48</v>
      </c>
      <c r="B110" s="83">
        <f t="shared" si="82"/>
        <v>0</v>
      </c>
      <c r="C110" s="83">
        <f t="shared" si="82"/>
        <v>0</v>
      </c>
      <c r="D110" s="83">
        <f t="shared" si="82"/>
        <v>0</v>
      </c>
      <c r="E110" s="83">
        <f t="shared" si="82"/>
        <v>0</v>
      </c>
      <c r="F110" s="83">
        <f t="shared" si="82"/>
        <v>0</v>
      </c>
      <c r="G110" s="83">
        <f t="shared" si="82"/>
        <v>0</v>
      </c>
      <c r="H110" s="83">
        <f t="shared" si="82"/>
        <v>0</v>
      </c>
    </row>
    <row r="111" spans="1:8">
      <c r="A111" s="75" t="s">
        <v>12</v>
      </c>
      <c r="B111" s="83">
        <f t="shared" si="82"/>
        <v>0</v>
      </c>
      <c r="C111" s="83">
        <f t="shared" si="82"/>
        <v>0</v>
      </c>
      <c r="D111" s="83">
        <f t="shared" si="82"/>
        <v>0</v>
      </c>
      <c r="E111" s="83" t="e">
        <f t="shared" si="82"/>
        <v>#DIV/0!</v>
      </c>
      <c r="F111" s="83">
        <f t="shared" si="82"/>
        <v>0</v>
      </c>
      <c r="G111" s="83">
        <f t="shared" si="82"/>
        <v>0</v>
      </c>
      <c r="H111" s="83">
        <f t="shared" si="82"/>
        <v>0</v>
      </c>
    </row>
    <row r="112" spans="1:8">
      <c r="A112" s="75" t="s">
        <v>31</v>
      </c>
      <c r="B112" s="83">
        <f t="shared" si="82"/>
        <v>0</v>
      </c>
      <c r="C112" s="83">
        <f t="shared" si="82"/>
        <v>0</v>
      </c>
      <c r="D112" s="83">
        <f t="shared" si="82"/>
        <v>0</v>
      </c>
      <c r="E112" s="83">
        <f t="shared" si="82"/>
        <v>0</v>
      </c>
      <c r="F112" s="83">
        <f t="shared" si="82"/>
        <v>0</v>
      </c>
      <c r="G112" s="83">
        <f t="shared" si="82"/>
        <v>0</v>
      </c>
      <c r="H112" s="83">
        <f t="shared" si="82"/>
        <v>0</v>
      </c>
    </row>
    <row r="113" spans="1:8">
      <c r="A113" s="75" t="s">
        <v>52</v>
      </c>
      <c r="B113" s="83">
        <f t="shared" si="82"/>
        <v>0</v>
      </c>
      <c r="C113" s="83">
        <f t="shared" si="82"/>
        <v>0</v>
      </c>
      <c r="D113" s="83">
        <f t="shared" si="82"/>
        <v>0</v>
      </c>
      <c r="E113" s="83">
        <f t="shared" si="82"/>
        <v>0</v>
      </c>
      <c r="F113" s="83">
        <f t="shared" si="82"/>
        <v>0</v>
      </c>
      <c r="G113" s="83">
        <f t="shared" si="82"/>
        <v>0</v>
      </c>
      <c r="H113" s="83">
        <f t="shared" si="82"/>
        <v>0</v>
      </c>
    </row>
    <row r="114" spans="1:8">
      <c r="A114" s="75" t="s">
        <v>12</v>
      </c>
      <c r="B114" s="83">
        <f t="shared" si="82"/>
        <v>0</v>
      </c>
      <c r="C114" s="83">
        <f t="shared" si="82"/>
        <v>0</v>
      </c>
      <c r="D114" s="83">
        <f t="shared" si="82"/>
        <v>0</v>
      </c>
      <c r="E114" s="83">
        <f t="shared" si="82"/>
        <v>0</v>
      </c>
      <c r="F114" s="83">
        <f t="shared" si="82"/>
        <v>0</v>
      </c>
      <c r="G114" s="83">
        <f t="shared" si="82"/>
        <v>0</v>
      </c>
      <c r="H114" s="83">
        <f t="shared" si="82"/>
        <v>0</v>
      </c>
    </row>
  </sheetData>
  <mergeCells count="17"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4:H4"/>
    <mergeCell ref="A8:H8"/>
    <mergeCell ref="J8:Q8"/>
    <mergeCell ref="R8:Y8"/>
    <mergeCell ref="AA8:AH8"/>
    <mergeCell ref="G5:H5"/>
  </mergeCells>
  <phoneticPr fontId="17" type="noConversion"/>
  <pageMargins left="0.33" right="0.21" top="0.22" bottom="0.48" header="0.11" footer="0.3"/>
  <pageSetup paperSize="9" scale="70" orientation="portrait" r:id="rId1"/>
  <colBreaks count="1" manualBreakCount="1">
    <brk id="17" max="4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0"/>
  <dimension ref="A1:L21"/>
  <sheetViews>
    <sheetView zoomScaleNormal="100" zoomScaleSheetLayoutView="115" workbookViewId="0">
      <selection activeCell="F20" sqref="F20"/>
    </sheetView>
  </sheetViews>
  <sheetFormatPr defaultRowHeight="13.2"/>
  <cols>
    <col min="1" max="1" width="23.33203125" customWidth="1"/>
    <col min="2" max="2" width="10.109375" customWidth="1"/>
    <col min="3" max="3" width="15" customWidth="1"/>
    <col min="5" max="5" width="10.88671875" customWidth="1"/>
    <col min="6" max="6" width="14.88671875" customWidth="1"/>
    <col min="11" max="11" width="10.5546875" bestFit="1" customWidth="1"/>
    <col min="12" max="12" width="32" customWidth="1"/>
  </cols>
  <sheetData>
    <row r="1" spans="1:12">
      <c r="A1" s="455" t="s">
        <v>62</v>
      </c>
      <c r="B1" s="455" t="s">
        <v>63</v>
      </c>
      <c r="C1" s="455"/>
      <c r="D1" s="455"/>
      <c r="E1" s="455" t="s">
        <v>64</v>
      </c>
      <c r="F1" s="455"/>
      <c r="G1" s="455"/>
      <c r="H1" s="455"/>
    </row>
    <row r="2" spans="1:12" ht="39.6">
      <c r="A2" s="455"/>
      <c r="B2" s="204" t="s">
        <v>65</v>
      </c>
      <c r="C2" s="204" t="s">
        <v>66</v>
      </c>
      <c r="D2" s="204" t="s">
        <v>67</v>
      </c>
      <c r="E2" s="204" t="s">
        <v>65</v>
      </c>
      <c r="F2" s="204" t="s">
        <v>66</v>
      </c>
      <c r="G2" s="204" t="s">
        <v>67</v>
      </c>
      <c r="H2" s="204" t="s">
        <v>68</v>
      </c>
    </row>
    <row r="3" spans="1:12">
      <c r="A3" s="205">
        <v>1</v>
      </c>
      <c r="B3" s="204">
        <v>2</v>
      </c>
      <c r="C3" s="204">
        <v>3</v>
      </c>
      <c r="D3" s="204">
        <v>4</v>
      </c>
      <c r="E3" s="204">
        <v>5</v>
      </c>
      <c r="F3" s="204">
        <v>6</v>
      </c>
      <c r="G3" s="204">
        <v>7</v>
      </c>
      <c r="H3" s="204">
        <v>8</v>
      </c>
    </row>
    <row r="4" spans="1:12">
      <c r="A4" s="238" t="s">
        <v>75</v>
      </c>
      <c r="B4" s="206">
        <v>692.7</v>
      </c>
      <c r="C4" s="206">
        <f>Bolqrka!B10</f>
        <v>520.4</v>
      </c>
      <c r="D4" s="207">
        <f t="shared" ref="D4:D21" si="0">C4/B4*100</f>
        <v>75.126317309080406</v>
      </c>
      <c r="E4" s="207">
        <v>25302</v>
      </c>
      <c r="F4" s="431">
        <f>Bolqrka!D10</f>
        <v>24790</v>
      </c>
      <c r="G4" s="207">
        <f t="shared" ref="G4:G21" si="1">F4/E4*100</f>
        <v>97.976444549837964</v>
      </c>
      <c r="H4" s="207">
        <f t="shared" ref="H4:H21" si="2">F4-E4</f>
        <v>-512</v>
      </c>
      <c r="J4" t="e">
        <f>#REF!</f>
        <v>#REF!</v>
      </c>
      <c r="K4" s="21" t="e">
        <f>#REF!</f>
        <v>#REF!</v>
      </c>
      <c r="L4">
        <v>6</v>
      </c>
    </row>
    <row r="5" spans="1:12">
      <c r="A5" s="238" t="s">
        <v>76</v>
      </c>
      <c r="B5" s="206">
        <v>549.5</v>
      </c>
      <c r="C5" s="206">
        <f>Bujnovci!B10</f>
        <v>487.4</v>
      </c>
      <c r="D5" s="207">
        <f t="shared" si="0"/>
        <v>88.69881710646041</v>
      </c>
      <c r="E5" s="207">
        <v>23131</v>
      </c>
      <c r="F5" s="431">
        <f>Bujnovci!D10</f>
        <v>22203</v>
      </c>
      <c r="G5" s="207">
        <f t="shared" si="1"/>
        <v>95.988067960745312</v>
      </c>
      <c r="H5" s="207">
        <f t="shared" si="2"/>
        <v>-928</v>
      </c>
      <c r="J5" t="e">
        <f>#REF!</f>
        <v>#REF!</v>
      </c>
      <c r="K5" s="21" t="e">
        <f>#REF!</f>
        <v>#REF!</v>
      </c>
      <c r="L5">
        <f>L4+7</f>
        <v>13</v>
      </c>
    </row>
    <row r="6" spans="1:12">
      <c r="A6" s="238" t="s">
        <v>77</v>
      </c>
      <c r="B6" s="206">
        <v>425.6</v>
      </c>
      <c r="C6" s="206">
        <f>Gabrovo!B10</f>
        <v>478.9</v>
      </c>
      <c r="D6" s="207">
        <f t="shared" si="0"/>
        <v>112.52349624060149</v>
      </c>
      <c r="E6" s="207">
        <v>22598</v>
      </c>
      <c r="F6" s="431">
        <f>Gabrovo!D10</f>
        <v>26497</v>
      </c>
      <c r="G6" s="207">
        <f t="shared" si="1"/>
        <v>117.25373926896185</v>
      </c>
      <c r="H6" s="207">
        <f t="shared" si="2"/>
        <v>3899</v>
      </c>
      <c r="J6" t="e">
        <f>#REF!</f>
        <v>#REF!</v>
      </c>
      <c r="K6" s="21" t="e">
        <f>#REF!</f>
        <v>#REF!</v>
      </c>
      <c r="L6">
        <f t="shared" ref="L6:L20" si="3">L5+7</f>
        <v>20</v>
      </c>
    </row>
    <row r="7" spans="1:12">
      <c r="A7" s="238" t="s">
        <v>78</v>
      </c>
      <c r="B7" s="206">
        <v>682.18</v>
      </c>
      <c r="C7" s="206">
        <f>Gorna!B10</f>
        <v>729.1</v>
      </c>
      <c r="D7" s="207">
        <f t="shared" si="0"/>
        <v>106.87795010114634</v>
      </c>
      <c r="E7" s="207">
        <v>26117</v>
      </c>
      <c r="F7" s="431">
        <f>Gorna!D10</f>
        <v>28751</v>
      </c>
      <c r="G7" s="207">
        <f t="shared" si="1"/>
        <v>110.08538499827698</v>
      </c>
      <c r="H7" s="207">
        <f t="shared" si="2"/>
        <v>2634</v>
      </c>
      <c r="J7" s="53" t="e">
        <f>#REF!</f>
        <v>#REF!</v>
      </c>
      <c r="K7" s="21" t="e">
        <f>#REF!</f>
        <v>#REF!</v>
      </c>
      <c r="L7">
        <f t="shared" si="3"/>
        <v>27</v>
      </c>
    </row>
    <row r="8" spans="1:12">
      <c r="A8" s="238" t="s">
        <v>79</v>
      </c>
      <c r="B8" s="206">
        <v>737.3</v>
      </c>
      <c r="C8" s="206">
        <f>Elena!B10</f>
        <v>1032.5</v>
      </c>
      <c r="D8" s="207">
        <f t="shared" si="0"/>
        <v>140.03797640037979</v>
      </c>
      <c r="E8" s="207">
        <v>31500</v>
      </c>
      <c r="F8" s="431">
        <f>Elena!D10</f>
        <v>39834</v>
      </c>
      <c r="G8" s="207">
        <f t="shared" si="1"/>
        <v>126.45714285714287</v>
      </c>
      <c r="H8" s="207">
        <f t="shared" si="2"/>
        <v>8334</v>
      </c>
      <c r="J8" t="e">
        <f>#REF!</f>
        <v>#REF!</v>
      </c>
      <c r="K8" s="21" t="e">
        <f>#REF!</f>
        <v>#REF!</v>
      </c>
      <c r="L8">
        <f t="shared" si="3"/>
        <v>34</v>
      </c>
    </row>
    <row r="9" spans="1:12">
      <c r="A9" s="238" t="s">
        <v>80</v>
      </c>
      <c r="B9" s="206">
        <v>629.71</v>
      </c>
      <c r="C9" s="206">
        <f>Plachkovci!B10</f>
        <v>684</v>
      </c>
      <c r="D9" s="207">
        <f t="shared" si="0"/>
        <v>108.62142891172127</v>
      </c>
      <c r="E9" s="207">
        <v>22711</v>
      </c>
      <c r="F9" s="431">
        <f>Plachkovci!D10</f>
        <v>28421</v>
      </c>
      <c r="G9" s="207">
        <f t="shared" si="1"/>
        <v>125.142001673198</v>
      </c>
      <c r="H9" s="207">
        <f t="shared" si="2"/>
        <v>5710</v>
      </c>
      <c r="J9" t="e">
        <f>#REF!</f>
        <v>#REF!</v>
      </c>
      <c r="K9" s="21" t="e">
        <f>#REF!</f>
        <v>#REF!</v>
      </c>
      <c r="L9">
        <f t="shared" si="3"/>
        <v>41</v>
      </c>
    </row>
    <row r="10" spans="1:12">
      <c r="A10" s="238" t="s">
        <v>81</v>
      </c>
      <c r="B10" s="206">
        <v>704.76</v>
      </c>
      <c r="C10" s="206">
        <f>Rosica!B10</f>
        <v>740.87199999999996</v>
      </c>
      <c r="D10" s="207">
        <f t="shared" si="0"/>
        <v>105.12401384868608</v>
      </c>
      <c r="E10" s="207">
        <v>43803</v>
      </c>
      <c r="F10" s="431">
        <f>Rosica!D10</f>
        <v>41580</v>
      </c>
      <c r="G10" s="207">
        <f t="shared" si="1"/>
        <v>94.925005136634482</v>
      </c>
      <c r="H10" s="207">
        <f t="shared" si="2"/>
        <v>-2223</v>
      </c>
      <c r="J10" t="e">
        <f>#REF!</f>
        <v>#REF!</v>
      </c>
      <c r="K10" s="21" t="e">
        <f>#REF!</f>
        <v>#REF!</v>
      </c>
      <c r="L10">
        <f t="shared" si="3"/>
        <v>48</v>
      </c>
    </row>
    <row r="11" spans="1:12">
      <c r="A11" s="238" t="s">
        <v>82</v>
      </c>
      <c r="B11" s="206">
        <v>96.199999999999989</v>
      </c>
      <c r="C11" s="206">
        <f>Svishtov!B10</f>
        <v>63.900000000000006</v>
      </c>
      <c r="D11" s="207">
        <f t="shared" si="0"/>
        <v>66.424116424116448</v>
      </c>
      <c r="E11" s="207">
        <v>9224</v>
      </c>
      <c r="F11" s="431">
        <f>Svishtov!D10</f>
        <v>8632</v>
      </c>
      <c r="G11" s="207">
        <f t="shared" si="1"/>
        <v>93.581960104076316</v>
      </c>
      <c r="H11" s="207">
        <f t="shared" si="2"/>
        <v>-592</v>
      </c>
      <c r="J11" t="e">
        <f>#REF!</f>
        <v>#REF!</v>
      </c>
      <c r="K11" s="21" t="e">
        <f>#REF!</f>
        <v>#REF!</v>
      </c>
      <c r="L11">
        <f t="shared" si="3"/>
        <v>55</v>
      </c>
    </row>
    <row r="12" spans="1:12">
      <c r="A12" s="238" t="s">
        <v>83</v>
      </c>
      <c r="B12" s="206">
        <v>0</v>
      </c>
      <c r="C12" s="206">
        <f>Sevlievo!B10</f>
        <v>0</v>
      </c>
      <c r="D12" s="207" t="e">
        <f t="shared" si="0"/>
        <v>#DIV/0!</v>
      </c>
      <c r="E12" s="207">
        <v>0</v>
      </c>
      <c r="F12" s="431">
        <f>Sevlievo!D10</f>
        <v>0</v>
      </c>
      <c r="G12" s="207" t="e">
        <f t="shared" si="1"/>
        <v>#DIV/0!</v>
      </c>
      <c r="H12" s="207">
        <f t="shared" si="2"/>
        <v>0</v>
      </c>
      <c r="J12" t="e">
        <f>#REF!</f>
        <v>#REF!</v>
      </c>
      <c r="K12" s="21" t="e">
        <f>#REF!</f>
        <v>#REF!</v>
      </c>
      <c r="L12">
        <f t="shared" si="3"/>
        <v>62</v>
      </c>
    </row>
    <row r="13" spans="1:12">
      <c r="A13" s="238" t="s">
        <v>84</v>
      </c>
      <c r="B13" s="206">
        <v>608.20000000000005</v>
      </c>
      <c r="C13" s="206">
        <f>Bqla!B10</f>
        <v>759.6</v>
      </c>
      <c r="D13" s="207">
        <f t="shared" si="0"/>
        <v>124.89312726076949</v>
      </c>
      <c r="E13" s="207">
        <v>36409</v>
      </c>
      <c r="F13" s="431">
        <f>Bqla!D10</f>
        <v>45835</v>
      </c>
      <c r="G13" s="207">
        <f t="shared" si="1"/>
        <v>125.88920321898431</v>
      </c>
      <c r="H13" s="207">
        <f t="shared" si="2"/>
        <v>9426</v>
      </c>
      <c r="J13" t="e">
        <f>#REF!</f>
        <v>#REF!</v>
      </c>
      <c r="K13" s="21" t="e">
        <f>#REF!</f>
        <v>#REF!</v>
      </c>
      <c r="L13">
        <f t="shared" si="3"/>
        <v>69</v>
      </c>
    </row>
    <row r="14" spans="1:12">
      <c r="A14" s="238" t="s">
        <v>85</v>
      </c>
      <c r="B14" s="206">
        <v>423.20000000000005</v>
      </c>
      <c r="C14" s="206">
        <f>Dunav_Ruse!B10</f>
        <v>847.4</v>
      </c>
      <c r="D14" s="207">
        <f t="shared" si="0"/>
        <v>200.23629489603022</v>
      </c>
      <c r="E14" s="207">
        <v>47009</v>
      </c>
      <c r="F14" s="431">
        <f>Dunav_Ruse!D10</f>
        <v>53255</v>
      </c>
      <c r="G14" s="207">
        <f t="shared" si="1"/>
        <v>113.28681741794125</v>
      </c>
      <c r="H14" s="207">
        <f t="shared" si="2"/>
        <v>6246</v>
      </c>
      <c r="J14" t="e">
        <f>#REF!</f>
        <v>#REF!</v>
      </c>
      <c r="K14" s="21" t="e">
        <f>#REF!</f>
        <v>#REF!</v>
      </c>
      <c r="L14">
        <f t="shared" si="3"/>
        <v>76</v>
      </c>
    </row>
    <row r="15" spans="1:12">
      <c r="A15" s="238" t="s">
        <v>86</v>
      </c>
      <c r="B15" s="206">
        <v>853.1</v>
      </c>
      <c r="C15" s="206">
        <f>Karakuz!B10</f>
        <v>867.90000000000009</v>
      </c>
      <c r="D15" s="207">
        <f t="shared" si="0"/>
        <v>101.7348493728754</v>
      </c>
      <c r="E15" s="207">
        <v>43460</v>
      </c>
      <c r="F15" s="431">
        <f>Karakuz!D10</f>
        <v>42028</v>
      </c>
      <c r="G15" s="207">
        <f t="shared" si="1"/>
        <v>96.705016106764845</v>
      </c>
      <c r="H15" s="207">
        <f t="shared" si="2"/>
        <v>-1432</v>
      </c>
      <c r="J15" s="53" t="e">
        <f>#REF!</f>
        <v>#REF!</v>
      </c>
      <c r="K15" s="21" t="e">
        <f>#REF!</f>
        <v>#REF!</v>
      </c>
      <c r="L15">
        <f t="shared" si="3"/>
        <v>83</v>
      </c>
    </row>
    <row r="16" spans="1:12">
      <c r="A16" s="238" t="s">
        <v>87</v>
      </c>
      <c r="B16" s="206">
        <v>538.80000000000007</v>
      </c>
      <c r="C16" s="206">
        <f>Razgrad!B10</f>
        <v>455.3</v>
      </c>
      <c r="D16" s="207">
        <f t="shared" si="0"/>
        <v>84.502598366740898</v>
      </c>
      <c r="E16" s="207">
        <v>23655</v>
      </c>
      <c r="F16" s="431">
        <f>Razgrad!D10</f>
        <v>25124</v>
      </c>
      <c r="G16" s="207">
        <f t="shared" si="1"/>
        <v>106.21010357218348</v>
      </c>
      <c r="H16" s="207">
        <f t="shared" si="2"/>
        <v>1469</v>
      </c>
      <c r="J16" t="e">
        <f>#REF!</f>
        <v>#REF!</v>
      </c>
      <c r="K16" s="21" t="e">
        <f>#REF!</f>
        <v>#REF!</v>
      </c>
      <c r="L16">
        <f t="shared" si="3"/>
        <v>90</v>
      </c>
    </row>
    <row r="17" spans="1:12">
      <c r="A17" s="238" t="s">
        <v>88</v>
      </c>
      <c r="B17" s="206">
        <v>884.19999999999993</v>
      </c>
      <c r="C17" s="206">
        <f>Seslav!B10</f>
        <v>845.9</v>
      </c>
      <c r="D17" s="207">
        <f t="shared" si="0"/>
        <v>95.668400814295424</v>
      </c>
      <c r="E17" s="207">
        <v>39812</v>
      </c>
      <c r="F17" s="431">
        <f>Seslav!D10</f>
        <v>41177</v>
      </c>
      <c r="G17" s="207">
        <f t="shared" si="1"/>
        <v>103.42861448809404</v>
      </c>
      <c r="H17" s="207">
        <f t="shared" si="2"/>
        <v>1365</v>
      </c>
      <c r="J17" t="e">
        <f>#REF!</f>
        <v>#REF!</v>
      </c>
      <c r="K17" s="21" t="e">
        <f>#REF!</f>
        <v>#REF!</v>
      </c>
      <c r="L17">
        <f t="shared" si="3"/>
        <v>97</v>
      </c>
    </row>
    <row r="18" spans="1:12">
      <c r="A18" s="238" t="s">
        <v>89</v>
      </c>
      <c r="B18" s="206">
        <v>1116.5</v>
      </c>
      <c r="C18" s="206">
        <f>Silistra!B10</f>
        <v>788.59999999999991</v>
      </c>
      <c r="D18" s="207">
        <f t="shared" si="0"/>
        <v>70.631437527989249</v>
      </c>
      <c r="E18" s="207">
        <v>44876.5</v>
      </c>
      <c r="F18" s="431">
        <f>Silistra!D10</f>
        <v>43252</v>
      </c>
      <c r="G18" s="207">
        <f t="shared" si="1"/>
        <v>96.380065290296699</v>
      </c>
      <c r="H18" s="207">
        <f t="shared" si="2"/>
        <v>-1624.5</v>
      </c>
      <c r="J18" t="e">
        <f>#REF!</f>
        <v>#REF!</v>
      </c>
      <c r="K18" s="21" t="e">
        <f>#REF!</f>
        <v>#REF!</v>
      </c>
      <c r="L18">
        <f t="shared" si="3"/>
        <v>104</v>
      </c>
    </row>
    <row r="19" spans="1:12">
      <c r="A19" s="238" t="s">
        <v>90</v>
      </c>
      <c r="B19" s="206">
        <v>308.49999999999994</v>
      </c>
      <c r="C19" s="206">
        <f>Tutrakan!B10</f>
        <v>374.2</v>
      </c>
      <c r="D19" s="207">
        <f t="shared" si="0"/>
        <v>121.29659643435981</v>
      </c>
      <c r="E19" s="207">
        <v>31243</v>
      </c>
      <c r="F19" s="431">
        <f>Tutrakan!D10</f>
        <v>34617</v>
      </c>
      <c r="G19" s="207">
        <f t="shared" si="1"/>
        <v>110.79921902506162</v>
      </c>
      <c r="H19" s="207">
        <f t="shared" si="2"/>
        <v>3374</v>
      </c>
      <c r="J19" t="e">
        <f>#REF!</f>
        <v>#REF!</v>
      </c>
      <c r="K19" s="21" t="e">
        <f>#REF!</f>
        <v>#REF!</v>
      </c>
      <c r="L19">
        <f t="shared" si="3"/>
        <v>111</v>
      </c>
    </row>
    <row r="20" spans="1:12">
      <c r="A20" s="238" t="s">
        <v>91</v>
      </c>
      <c r="B20" s="206">
        <v>548.70000000000005</v>
      </c>
      <c r="C20" s="206">
        <f>Voden!B10</f>
        <v>670.00000000000011</v>
      </c>
      <c r="D20" s="207">
        <f t="shared" si="0"/>
        <v>122.10679788591217</v>
      </c>
      <c r="E20" s="207">
        <v>32703</v>
      </c>
      <c r="F20" s="431">
        <f>Voden!D10</f>
        <v>38442</v>
      </c>
      <c r="G20" s="207">
        <f t="shared" si="1"/>
        <v>117.54884872947436</v>
      </c>
      <c r="H20" s="207">
        <f t="shared" si="2"/>
        <v>5739</v>
      </c>
      <c r="J20" t="e">
        <f>#REF!</f>
        <v>#REF!</v>
      </c>
      <c r="K20" s="21" t="e">
        <f>#REF!</f>
        <v>#REF!</v>
      </c>
      <c r="L20">
        <f t="shared" si="3"/>
        <v>118</v>
      </c>
    </row>
    <row r="21" spans="1:12">
      <c r="A21" s="208" t="s">
        <v>69</v>
      </c>
      <c r="B21" s="206">
        <f>SUM(B4:B20)</f>
        <v>9799.1500000000015</v>
      </c>
      <c r="C21" s="206">
        <f>SUM(C4:C20)</f>
        <v>10345.972000000002</v>
      </c>
      <c r="D21" s="207">
        <f t="shared" si="0"/>
        <v>105.58030033217167</v>
      </c>
      <c r="E21" s="207">
        <f>SUM(E4:E20)</f>
        <v>503553.5</v>
      </c>
      <c r="F21" s="431">
        <f>SUM(F4:F20)</f>
        <v>544438</v>
      </c>
      <c r="G21" s="207">
        <f t="shared" si="1"/>
        <v>108.11919686786011</v>
      </c>
      <c r="H21" s="207">
        <f t="shared" si="2"/>
        <v>40884.5</v>
      </c>
      <c r="K21" s="21"/>
    </row>
  </sheetData>
  <mergeCells count="3">
    <mergeCell ref="A1:A2"/>
    <mergeCell ref="B1:D1"/>
    <mergeCell ref="E1:H1"/>
  </mergeCells>
  <pageMargins left="0.70866141732283472" right="0.70866141732283472" top="0.74803149606299213" bottom="0.74803149606299213" header="0.31496062992125984" footer="0.31496062992125984"/>
  <pageSetup paperSize="9" scale="1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19</vt:i4>
      </vt:variant>
      <vt:variant>
        <vt:lpstr>Наименувани диапазони</vt:lpstr>
      </vt:variant>
      <vt:variant>
        <vt:i4>4</vt:i4>
      </vt:variant>
    </vt:vector>
  </HeadingPairs>
  <TitlesOfParts>
    <vt:vector size="23" baseType="lpstr">
      <vt:lpstr>SCDP</vt:lpstr>
      <vt:lpstr>Bolqrka</vt:lpstr>
      <vt:lpstr>Bujnovci</vt:lpstr>
      <vt:lpstr>Gabrovo</vt:lpstr>
      <vt:lpstr>Gorna</vt:lpstr>
      <vt:lpstr>Elena</vt:lpstr>
      <vt:lpstr>Plachkovci</vt:lpstr>
      <vt:lpstr>Rosica</vt:lpstr>
      <vt:lpstr>Svishtov</vt:lpstr>
      <vt:lpstr>Sevlievo</vt:lpstr>
      <vt:lpstr>Bqla</vt:lpstr>
      <vt:lpstr>Dunav_Ruse</vt:lpstr>
      <vt:lpstr>Karakuz</vt:lpstr>
      <vt:lpstr>Razgrad</vt:lpstr>
      <vt:lpstr>Seslav</vt:lpstr>
      <vt:lpstr>Silistra</vt:lpstr>
      <vt:lpstr>Tutrakan</vt:lpstr>
      <vt:lpstr>Voden</vt:lpstr>
      <vt:lpstr>Лист1</vt:lpstr>
      <vt:lpstr>SCDP!aw</vt:lpstr>
      <vt:lpstr>SCDP!Област_печат</vt:lpstr>
      <vt:lpstr>Voden!Област_печат</vt:lpstr>
      <vt:lpstr>Лист1!Област_печат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Н. Неделчев</cp:lastModifiedBy>
  <cp:lastPrinted>2024-11-20T12:23:38Z</cp:lastPrinted>
  <dcterms:created xsi:type="dcterms:W3CDTF">2007-10-01T07:59:34Z</dcterms:created>
  <dcterms:modified xsi:type="dcterms:W3CDTF">2024-11-20T12:57:12Z</dcterms:modified>
</cp:coreProperties>
</file>